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valenzuela\Documents\"/>
    </mc:Choice>
  </mc:AlternateContent>
  <bookViews>
    <workbookView xWindow="-105" yWindow="-105" windowWidth="19425" windowHeight="10425"/>
  </bookViews>
  <sheets>
    <sheet name="2022-2031" sheetId="1" r:id="rId1"/>
    <sheet name="Proyección K 2022-2031" sheetId="2" r:id="rId2"/>
    <sheet name="Proyección A 2022-2031" sheetId="3" r:id="rId3"/>
  </sheets>
  <definedNames>
    <definedName name="_xlnm.Print_Area" localSheetId="0">'2022-2031'!$A$1:$BY$62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52" i="1" l="1"/>
  <c r="BE53" i="1"/>
  <c r="BE58" i="1" s="1"/>
  <c r="BG58" i="1"/>
  <c r="BF58" i="1"/>
  <c r="Z52" i="1"/>
  <c r="BG53" i="1"/>
  <c r="BI34" i="1"/>
  <c r="BH52" i="1" l="1"/>
  <c r="BH42" i="1"/>
  <c r="H42" i="1"/>
  <c r="J42" i="1" s="1"/>
  <c r="R42" i="1" s="1"/>
  <c r="T42" i="1" s="1"/>
  <c r="V42" i="1" s="1"/>
  <c r="X42" i="1" s="1"/>
  <c r="BJ52" i="1" l="1"/>
  <c r="BK52" i="1" s="1"/>
  <c r="BK42" i="1"/>
  <c r="BJ42" i="1"/>
  <c r="BY61" i="1"/>
  <c r="BM53" i="1"/>
  <c r="BH40" i="1"/>
  <c r="H40" i="1"/>
  <c r="J40" i="1" s="1"/>
  <c r="R40" i="1" s="1"/>
  <c r="T40" i="1" s="1"/>
  <c r="V40" i="1" s="1"/>
  <c r="X40" i="1" s="1"/>
  <c r="H25" i="1"/>
  <c r="J25" i="1" s="1"/>
  <c r="R25" i="1" s="1"/>
  <c r="T25" i="1" s="1"/>
  <c r="V25" i="1" s="1"/>
  <c r="X25" i="1" s="1"/>
  <c r="H19" i="1"/>
  <c r="J19" i="1" s="1"/>
  <c r="R19" i="1" s="1"/>
  <c r="BB19" i="1"/>
  <c r="BB53" i="1" s="1"/>
  <c r="H34" i="1"/>
  <c r="J34" i="1" s="1"/>
  <c r="R34" i="1" s="1"/>
  <c r="T34" i="1" s="1"/>
  <c r="V34" i="1" s="1"/>
  <c r="X34" i="1" s="1"/>
  <c r="H32" i="1"/>
  <c r="J32" i="1" s="1"/>
  <c r="R32" i="1" s="1"/>
  <c r="T32" i="1" s="1"/>
  <c r="V32" i="1" s="1"/>
  <c r="X32" i="1" s="1"/>
  <c r="Z32" i="1" s="1"/>
  <c r="BL42" i="1" l="1"/>
  <c r="BN42" i="1" s="1"/>
  <c r="BP42" i="1" s="1"/>
  <c r="BR42" i="1" s="1"/>
  <c r="BT42" i="1" s="1"/>
  <c r="BV42" i="1" s="1"/>
  <c r="BX42" i="1" s="1"/>
  <c r="BY42" i="1" s="1"/>
  <c r="BK40" i="1"/>
  <c r="BK53" i="1" s="1"/>
  <c r="BK58" i="1" s="1"/>
  <c r="BI53" i="1"/>
  <c r="BI58" i="1" s="1"/>
  <c r="BJ40" i="1"/>
  <c r="BL40" i="1" s="1"/>
  <c r="BN40" i="1" s="1"/>
  <c r="BO53" i="1" l="1"/>
  <c r="BJ34" i="1"/>
  <c r="BL34" i="1" s="1"/>
  <c r="BN34" i="1" s="1"/>
  <c r="BP34" i="1" s="1"/>
  <c r="BR34" i="1" s="1"/>
  <c r="BT34" i="1" s="1"/>
  <c r="BV34" i="1" s="1"/>
  <c r="BX34" i="1" s="1"/>
  <c r="BY34" i="1" s="1"/>
  <c r="BJ53" i="1" l="1"/>
  <c r="BL53" i="1"/>
  <c r="BP40" i="1"/>
  <c r="BN25" i="1"/>
  <c r="BN53" i="1" s="1"/>
  <c r="BO58" i="1"/>
  <c r="BI61" i="1" l="1"/>
  <c r="BJ58" i="1"/>
  <c r="BP53" i="1"/>
  <c r="BP58" i="1" s="1"/>
  <c r="BO61" i="1" s="1"/>
  <c r="BC58" i="1"/>
  <c r="BD53" i="1"/>
  <c r="BD58" i="1" s="1"/>
  <c r="BC53" i="1"/>
  <c r="BQ53" i="1" l="1"/>
  <c r="BQ58" i="1"/>
  <c r="BR40" i="1"/>
  <c r="BF53" i="1"/>
  <c r="BH53" i="1"/>
  <c r="AG29" i="1"/>
  <c r="BF61" i="1" l="1"/>
  <c r="BH58" i="1"/>
  <c r="BR53" i="1"/>
  <c r="BR58" i="1" s="1"/>
  <c r="BQ61" i="1" s="1"/>
  <c r="BN58" i="1"/>
  <c r="BM61" i="1" s="1"/>
  <c r="BM58" i="1"/>
  <c r="BB58" i="1"/>
  <c r="BC61" i="1" s="1"/>
  <c r="AD29" i="1"/>
  <c r="Z29" i="1"/>
  <c r="BS53" i="1" l="1"/>
  <c r="BS58" i="1"/>
  <c r="BT40" i="1"/>
  <c r="BL58" i="1"/>
  <c r="BK61" i="1" s="1"/>
  <c r="AW58" i="1"/>
  <c r="AW53" i="1"/>
  <c r="AW66" i="1" s="1"/>
  <c r="AY58" i="1"/>
  <c r="AY53" i="1"/>
  <c r="AY66" i="1" s="1"/>
  <c r="AU58" i="1"/>
  <c r="AU53" i="1"/>
  <c r="AU66" i="1" s="1"/>
  <c r="AS61" i="1"/>
  <c r="AS58" i="1"/>
  <c r="AS53" i="1"/>
  <c r="AS66" i="1" s="1"/>
  <c r="AQ58" i="1"/>
  <c r="AQ53" i="1"/>
  <c r="AQ66" i="1" s="1"/>
  <c r="AO58" i="1"/>
  <c r="AO53" i="1"/>
  <c r="AO66" i="1" s="1"/>
  <c r="AY61" i="1" s="1"/>
  <c r="AM58" i="1"/>
  <c r="AM53" i="1"/>
  <c r="AM66" i="1" s="1"/>
  <c r="AW61" i="1" s="1"/>
  <c r="BT53" i="1" l="1"/>
  <c r="BT58" i="1" s="1"/>
  <c r="BS61" i="1" s="1"/>
  <c r="AU61" i="1"/>
  <c r="AE53" i="1"/>
  <c r="BU53" i="1" l="1"/>
  <c r="BU58" i="1"/>
  <c r="BV40" i="1"/>
  <c r="AD17" i="1"/>
  <c r="BV53" i="1" l="1"/>
  <c r="BV58" i="1" s="1"/>
  <c r="BU61" i="1" s="1"/>
  <c r="AA61" i="1"/>
  <c r="BW53" i="1" l="1"/>
  <c r="BW58" i="1"/>
  <c r="BX40" i="1"/>
  <c r="BX53" i="1" l="1"/>
  <c r="BX58" i="1" s="1"/>
  <c r="BW61" i="1" s="1"/>
  <c r="BY40" i="1"/>
  <c r="BY53" i="1" l="1"/>
  <c r="BY58" i="1"/>
  <c r="AD37" i="1"/>
  <c r="AX53" i="1" s="1"/>
  <c r="I37" i="1"/>
  <c r="K37" i="1" s="1"/>
  <c r="S37" i="1" s="1"/>
  <c r="U37" i="1" s="1"/>
  <c r="W37" i="1" s="1"/>
  <c r="I36" i="1"/>
  <c r="K36" i="1" s="1"/>
  <c r="S36" i="1" s="1"/>
  <c r="U36" i="1" s="1"/>
  <c r="W36" i="1" s="1"/>
  <c r="AD22" i="1"/>
  <c r="AZ53" i="1" l="1"/>
  <c r="AX58" i="1"/>
  <c r="AZ58" i="1" s="1"/>
  <c r="AG46" i="1"/>
  <c r="AJ46" i="1" s="1"/>
  <c r="AG44" i="1"/>
  <c r="AJ44" i="1" s="1"/>
  <c r="H44" i="1"/>
  <c r="I44" i="1"/>
  <c r="K44" i="1"/>
  <c r="S44" i="1"/>
  <c r="U44" i="1"/>
  <c r="H46" i="1"/>
  <c r="I46" i="1"/>
  <c r="K46" i="1"/>
  <c r="S46" i="1"/>
  <c r="U46" i="1"/>
  <c r="X50" i="1"/>
  <c r="Z51" i="1"/>
  <c r="C53" i="1"/>
  <c r="F53" i="1"/>
  <c r="G53" i="1"/>
  <c r="L53" i="1"/>
  <c r="M53" i="1"/>
  <c r="Y53" i="1"/>
  <c r="AA53" i="1"/>
  <c r="AC53" i="1"/>
  <c r="AF53" i="1"/>
  <c r="AI53" i="1"/>
  <c r="AK53" i="1"/>
  <c r="J44" i="1" l="1"/>
  <c r="R44" i="1" s="1"/>
  <c r="T44" i="1" s="1"/>
  <c r="J46" i="1"/>
  <c r="R46" i="1" s="1"/>
  <c r="T46" i="1" s="1"/>
  <c r="V46" i="1" s="1"/>
  <c r="X46" i="1" s="1"/>
  <c r="Z46" i="1" s="1"/>
  <c r="Y61" i="1"/>
  <c r="V44" i="1" l="1"/>
  <c r="X44" i="1" s="1"/>
  <c r="Z44" i="1" l="1"/>
  <c r="I53" i="1" l="1"/>
  <c r="Z13" i="1"/>
  <c r="AB13" i="1" l="1"/>
  <c r="K53" i="1"/>
  <c r="Y58" i="1"/>
  <c r="S53" i="1" l="1"/>
  <c r="Z28" i="1"/>
  <c r="AB28" i="1" l="1"/>
  <c r="Z53" i="1"/>
  <c r="W53" i="1"/>
  <c r="U53" i="1"/>
  <c r="AK58" i="1"/>
  <c r="AI58" i="1"/>
  <c r="AF58" i="1"/>
  <c r="AC58" i="1"/>
  <c r="AA58" i="1"/>
  <c r="AB53" i="1" l="1"/>
  <c r="AD28" i="1"/>
  <c r="Z58" i="1"/>
  <c r="AC66" i="1"/>
  <c r="AQ61" i="1" l="1"/>
  <c r="X11" i="1"/>
  <c r="H13" i="1"/>
  <c r="J13" i="1" s="1"/>
  <c r="R13" i="1" s="1"/>
  <c r="T13" i="1" s="1"/>
  <c r="V13" i="1" s="1"/>
  <c r="AL53" i="1" l="1"/>
  <c r="AL58" i="1" s="1"/>
  <c r="AK61" i="1" s="1"/>
  <c r="AJ66" i="1"/>
  <c r="AD13" i="1"/>
  <c r="AD53" i="1" s="1"/>
  <c r="H5" i="1"/>
  <c r="H6" i="1"/>
  <c r="J6" i="1" s="1"/>
  <c r="R6" i="1" s="1"/>
  <c r="T6" i="1" s="1"/>
  <c r="H9" i="1"/>
  <c r="J9" i="1" s="1"/>
  <c r="R9" i="1" s="1"/>
  <c r="T9" i="1" s="1"/>
  <c r="V9" i="1" s="1"/>
  <c r="H10" i="1"/>
  <c r="J10" i="1" s="1"/>
  <c r="H11" i="1"/>
  <c r="J11" i="1" s="1"/>
  <c r="R11" i="1" s="1"/>
  <c r="T11" i="1" s="1"/>
  <c r="V11" i="1" s="1"/>
  <c r="H31" i="1"/>
  <c r="J31" i="1" s="1"/>
  <c r="R31" i="1" s="1"/>
  <c r="T31" i="1" s="1"/>
  <c r="V31" i="1" s="1"/>
  <c r="X31" i="1" s="1"/>
  <c r="AO61" i="1"/>
  <c r="AD58" i="1" l="1"/>
  <c r="AC61" i="1" s="1"/>
  <c r="AN53" i="1"/>
  <c r="AN58" i="1" s="1"/>
  <c r="T53" i="1"/>
  <c r="J5" i="1"/>
  <c r="J53" i="1" s="1"/>
  <c r="H53" i="1"/>
  <c r="AD66" i="1"/>
  <c r="AM61" i="1" s="1"/>
  <c r="V6" i="1"/>
  <c r="V53" i="1" s="1"/>
  <c r="AG53" i="1" l="1"/>
  <c r="AP53" i="1"/>
  <c r="AP58" i="1" s="1"/>
  <c r="R5" i="1"/>
  <c r="R53" i="1" s="1"/>
  <c r="T58" i="1"/>
  <c r="X6" i="1"/>
  <c r="X53" i="1" s="1"/>
  <c r="X58" i="1" s="1"/>
  <c r="AG58" i="1" l="1"/>
  <c r="AI61" i="1" s="1"/>
  <c r="AJ53" i="1"/>
  <c r="AJ58" i="1" s="1"/>
  <c r="AR53" i="1"/>
  <c r="AR58" i="1" s="1"/>
  <c r="V58" i="1"/>
  <c r="AF61" i="1" l="1"/>
  <c r="AV53" i="1"/>
  <c r="AV58" i="1" s="1"/>
  <c r="AT53" i="1"/>
  <c r="AT58" i="1" s="1"/>
  <c r="AB58" i="1"/>
  <c r="AB59" i="1"/>
  <c r="Z59" i="1"/>
  <c r="AD59" i="1" l="1"/>
</calcChain>
</file>

<file path=xl/comments1.xml><?xml version="1.0" encoding="utf-8"?>
<comments xmlns="http://schemas.openxmlformats.org/spreadsheetml/2006/main">
  <authors>
    <author>mmartinez</author>
  </authors>
  <commentList>
    <comment ref="M5" authorId="0" shapeId="0">
      <text>
        <r>
          <rPr>
            <b/>
            <sz val="8"/>
            <color indexed="81"/>
            <rFont val="Tahoma"/>
            <family val="2"/>
          </rPr>
          <t xml:space="preserve">mmartinez:
</t>
        </r>
        <r>
          <rPr>
            <sz val="8"/>
            <color indexed="81"/>
            <rFont val="Tahoma"/>
            <family val="2"/>
          </rPr>
          <t>los intereses se pagan anualmente.</t>
        </r>
      </text>
    </comment>
    <comment ref="M10" authorId="0" shapeId="0">
      <text>
        <r>
          <rPr>
            <b/>
            <sz val="8"/>
            <color indexed="81"/>
            <rFont val="Tahoma"/>
            <family val="2"/>
          </rPr>
          <t>mmartinez:</t>
        </r>
        <r>
          <rPr>
            <sz val="8"/>
            <color indexed="81"/>
            <rFont val="Tahoma"/>
            <family val="2"/>
          </rPr>
          <t xml:space="preserve">
solo intereses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</rPr>
          <t>mmartinez:</t>
        </r>
        <r>
          <rPr>
            <sz val="8"/>
            <color indexed="81"/>
            <rFont val="Tahoma"/>
            <family val="2"/>
          </rPr>
          <t xml:space="preserve">
en 2010 solo hay dos cuotas trimestrales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</rPr>
          <t xml:space="preserve">mmartinez:
</t>
        </r>
        <r>
          <rPr>
            <sz val="8"/>
            <color indexed="81"/>
            <rFont val="Tahoma"/>
            <family val="2"/>
          </rPr>
          <t>los intereses se pagan anualmente.</t>
        </r>
      </text>
    </comment>
    <comment ref="A50" authorId="0" shapeId="0">
      <text>
        <r>
          <rPr>
            <b/>
            <sz val="8"/>
            <color indexed="81"/>
            <rFont val="Tahoma"/>
            <family val="2"/>
          </rPr>
          <t>mmartinez:</t>
        </r>
        <r>
          <rPr>
            <sz val="8"/>
            <color indexed="81"/>
            <rFont val="Tahoma"/>
            <family val="2"/>
          </rPr>
          <t xml:space="preserve">
no incluyen la deuda de grupo delta</t>
        </r>
      </text>
    </comment>
  </commentList>
</comments>
</file>

<file path=xl/sharedStrings.xml><?xml version="1.0" encoding="utf-8"?>
<sst xmlns="http://schemas.openxmlformats.org/spreadsheetml/2006/main" count="217" uniqueCount="164">
  <si>
    <t>Importe inicial</t>
  </si>
  <si>
    <t>Fecha inicio</t>
  </si>
  <si>
    <t>Fecha fin</t>
  </si>
  <si>
    <t>Importe pdte.de disponer</t>
  </si>
  <si>
    <t>importe</t>
  </si>
  <si>
    <t>fecha</t>
  </si>
  <si>
    <t xml:space="preserve">importe </t>
  </si>
  <si>
    <t>Finalidad</t>
  </si>
  <si>
    <t>Anual</t>
  </si>
  <si>
    <t>Trimestral</t>
  </si>
  <si>
    <t>30-3/6/9/12</t>
  </si>
  <si>
    <t>REFINANCIACIÓN</t>
  </si>
  <si>
    <t>INVERSIONES 2006</t>
  </si>
  <si>
    <t>LA CAIXA</t>
  </si>
  <si>
    <t>VIVIENDAS</t>
  </si>
  <si>
    <t>INVERSIONES 2007</t>
  </si>
  <si>
    <t>PAM   2004 / 2005</t>
  </si>
  <si>
    <t>REFINANCIACIÓN 2008</t>
  </si>
  <si>
    <t>30-jun</t>
  </si>
  <si>
    <t>29-8/11</t>
  </si>
  <si>
    <t>cuota anual + cuotas trimestrales</t>
  </si>
  <si>
    <t>Capital amortizado 2010</t>
  </si>
  <si>
    <t>Capital vivo a 1/1/11</t>
  </si>
  <si>
    <t>Capital amortizado 2011</t>
  </si>
  <si>
    <t>Capital vivo a 1/1/12</t>
  </si>
  <si>
    <t>Capital amortizado 2012</t>
  </si>
  <si>
    <t>Capital amortizado 2013</t>
  </si>
  <si>
    <t>Capital amortizado 2014</t>
  </si>
  <si>
    <t>Capital vivo a 01/01/10*</t>
  </si>
  <si>
    <t>"A" constante</t>
  </si>
  <si>
    <t>Capital amortizado 2015</t>
  </si>
  <si>
    <t>Capital amortizado 2016</t>
  </si>
  <si>
    <t xml:space="preserve">TOTALES
</t>
  </si>
  <si>
    <t>BBVA</t>
  </si>
  <si>
    <t>BANKIA</t>
  </si>
  <si>
    <t>IVIMA</t>
  </si>
  <si>
    <t>VIVO 2017</t>
  </si>
  <si>
    <t>Importe
 inicial</t>
  </si>
  <si>
    <t>BANCO SANTANDER</t>
  </si>
  <si>
    <t>REINTEGRO PTE 2008</t>
  </si>
  <si>
    <t>REINTEGRO PTE 2009</t>
  </si>
  <si>
    <t>Capital amortizado 2017</t>
  </si>
  <si>
    <t>REFERENCIA DEL PRÉSTAMO</t>
  </si>
  <si>
    <t>Refinanciación 2004</t>
  </si>
  <si>
    <t>Capital amortizado 2018</t>
  </si>
  <si>
    <t>Inversiones 2006</t>
  </si>
  <si>
    <t>Inversiones 2005</t>
  </si>
  <si>
    <t>Refinanciación 2008</t>
  </si>
  <si>
    <t>Inversiones 2010</t>
  </si>
  <si>
    <t>Capital vivo 01/01/2013</t>
  </si>
  <si>
    <t>Capital vivo a 01/01/2014</t>
  </si>
  <si>
    <t>Capital vivo a 01/01/2015</t>
  </si>
  <si>
    <t>Capital vivo a 01/01/2016</t>
  </si>
  <si>
    <t>Capital vivo a 01/01/2017</t>
  </si>
  <si>
    <t>Capital vivo a 01/01/2019</t>
  </si>
  <si>
    <t xml:space="preserve"> </t>
  </si>
  <si>
    <t>8.254.490,00</t>
  </si>
  <si>
    <t>Capital amortizado 2019</t>
  </si>
  <si>
    <t>Capital vivo a 01/01/2020</t>
  </si>
  <si>
    <t>DEUDA FINANCIERA CON OTRAS ADMINISTRACIONES PÚBLICAS (DEVOLUCIÓN PIE ADMINISTRACION DEL ESTADO)</t>
  </si>
  <si>
    <t xml:space="preserve">FONDO VERDE: AÑO FINALIZACIÓN PRÉSTAMO                                   </t>
  </si>
  <si>
    <t xml:space="preserve"> TINTA ROJA: AMORTIZACIÓN EXTRAORDINARIA</t>
  </si>
  <si>
    <t>amortización ordinaria 2016</t>
  </si>
  <si>
    <t>amortización extraordinaria (por refinanciación) 2016</t>
  </si>
  <si>
    <t>FINALIZADO (SUSTITUIDO)</t>
  </si>
  <si>
    <t>REINTEGRO PTE 2013</t>
  </si>
  <si>
    <t xml:space="preserve">INVERSIONES 2016: </t>
  </si>
  <si>
    <t>BANCO SABADELL</t>
  </si>
  <si>
    <t>I.D.A.E</t>
  </si>
  <si>
    <t xml:space="preserve">amort. ordinaria </t>
  </si>
  <si>
    <t>amort. extra RT+</t>
  </si>
  <si>
    <t>amort. Refinanciación</t>
  </si>
  <si>
    <t>EFIC ENERGÉTICA 2017</t>
  </si>
  <si>
    <t>Capital vivo a 01/01/2021</t>
  </si>
  <si>
    <t>Capital vivo a 01/01/2022</t>
  </si>
  <si>
    <t>Capital amortizado 2020</t>
  </si>
  <si>
    <t>Capital amortizado 2021</t>
  </si>
  <si>
    <t>ABANCA</t>
  </si>
  <si>
    <t xml:space="preserve">INVERSIONES 2018: </t>
  </si>
  <si>
    <t>CAIXABANK</t>
  </si>
  <si>
    <t xml:space="preserve">IVIMA </t>
  </si>
  <si>
    <t>5.804.420,53 ó 6.111.437,43</t>
  </si>
  <si>
    <t>Recursos liq. NO CONSOLIDADOS 31-12-16</t>
  </si>
  <si>
    <t>*Incluye IDEA, NO Inv. 2018</t>
  </si>
  <si>
    <t>LIBERBANK</t>
  </si>
  <si>
    <t>Capital vivo máximo</t>
  </si>
  <si>
    <t>Capital amortizado 2022</t>
  </si>
  <si>
    <t>Capital vivo a 01/01/2023</t>
  </si>
  <si>
    <t>Capital amortizado 2023</t>
  </si>
  <si>
    <t>Capital vivo a 01/01/2024</t>
  </si>
  <si>
    <t>Capital amortizado 2024</t>
  </si>
  <si>
    <t>Capital vivo a 01/01/2025</t>
  </si>
  <si>
    <t>Capital amortizado 2025</t>
  </si>
  <si>
    <t>Capital vivo a 01/01/2026</t>
  </si>
  <si>
    <t>Capital amortizado 2026</t>
  </si>
  <si>
    <t>Capital vivo a 01/01/2027</t>
  </si>
  <si>
    <t>Capital amortizado 2027</t>
  </si>
  <si>
    <t>Capital vivo a 01/01/2028</t>
  </si>
  <si>
    <t>Capital amortizado 2028</t>
  </si>
  <si>
    <t>Ratio de deuda prevista a 31/12/20</t>
  </si>
  <si>
    <t>Capital vivo a 01/01/2029</t>
  </si>
  <si>
    <t>Capital amortizado 2029</t>
  </si>
  <si>
    <t>AMORTIZADO ANTICIPA Y CANCELADO 30-12-2019</t>
  </si>
  <si>
    <t>AMORTIZADO ANTICIPA Y CANCELADO 27-12-2019</t>
  </si>
  <si>
    <t>EFIC ENERGÉTICA 2018</t>
  </si>
  <si>
    <t>Inversiones Ppto. 2020</t>
  </si>
  <si>
    <t>Nueva deuda 2020</t>
  </si>
  <si>
    <t>Ayto.</t>
  </si>
  <si>
    <t>Ingresos ctes. sin ajustar</t>
  </si>
  <si>
    <t>AMORTIZADO ANTICIPA Y CANCELADO 30-12-2020</t>
  </si>
  <si>
    <t>AMORTIZADO ANTICIPA Y CANCELADO 27-2019</t>
  </si>
  <si>
    <t>Nuevo préstamo 2020</t>
  </si>
  <si>
    <t>AMORTIZADO ANTICIPA Y CANCELADO 17-12-2021</t>
  </si>
  <si>
    <t>Inversiones 2007</t>
  </si>
  <si>
    <t>Inversiones 2022 1ª Fase Lote 1</t>
  </si>
  <si>
    <t>Nuevo préstamo 2022</t>
  </si>
  <si>
    <t>AMORTIZADO ANTICIPA Y CANCELADO 26-03-2019</t>
  </si>
  <si>
    <t>AMORTIZADO Y CANCELADO 20-06-2016</t>
  </si>
  <si>
    <t>AMORTIZADO ANTIC. Y CANCELADO 20-06-2016</t>
  </si>
  <si>
    <t>AMORTIZADO ANTIC. Y CANCELADO 22-12-2017</t>
  </si>
  <si>
    <t>AMORTIZADO Y CANCELADO 20-07-2016</t>
  </si>
  <si>
    <t>AMORTIZADO Y CANCELADO 21-07-2016</t>
  </si>
  <si>
    <t>UNICAJA</t>
  </si>
  <si>
    <t>Inversiones 2022 1ª Fase Lote 2</t>
  </si>
  <si>
    <t>Dchos. Ctes. Ajust. Liq. 2021</t>
  </si>
  <si>
    <t>PORCENTAJE CAPITAL VIVO (MÁX.: 110%)</t>
  </si>
  <si>
    <t>Inversiones 2022, 2ª Fase, LOTE 1</t>
  </si>
  <si>
    <t>Inversiones 2022, 2ª Fase, LOTE 2</t>
  </si>
  <si>
    <t>AMORTIZADO ANTICIPADA Y TOTAL 30-12-2022</t>
  </si>
  <si>
    <t>BANKINTER</t>
  </si>
  <si>
    <t>REINTEGRO PTE 2020</t>
  </si>
  <si>
    <t>DDR netos a 31-12-2022</t>
  </si>
  <si>
    <t>TOTAL INCLUYENDO REINTEGROS PTE</t>
  </si>
  <si>
    <r>
      <t xml:space="preserve">PLAN PLURIANUAL DE AMORTIZACIÓN DE </t>
    </r>
    <r>
      <rPr>
        <b/>
        <u/>
        <sz val="11"/>
        <rFont val="Arial"/>
        <family val="2"/>
      </rPr>
      <t>DEUDA FINANCIERA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2022-2031</t>
    </r>
    <r>
      <rPr>
        <b/>
        <sz val="11"/>
        <color rgb="FFFF0000"/>
        <rFont val="Arial"/>
        <family val="2"/>
      </rPr>
      <t xml:space="preserve"> </t>
    </r>
  </si>
  <si>
    <r>
      <t xml:space="preserve">Ratio de deuda prevista a </t>
    </r>
    <r>
      <rPr>
        <b/>
        <sz val="7"/>
        <rFont val="Arial"/>
        <family val="2"/>
      </rPr>
      <t>31/12/16</t>
    </r>
  </si>
  <si>
    <r>
      <t xml:space="preserve">Ratio de deuda prevista a </t>
    </r>
    <r>
      <rPr>
        <b/>
        <sz val="7"/>
        <rFont val="Arial"/>
        <family val="2"/>
      </rPr>
      <t>31/12/17</t>
    </r>
  </si>
  <si>
    <r>
      <t xml:space="preserve">Ratio de deuda prevista a </t>
    </r>
    <r>
      <rPr>
        <b/>
        <sz val="7"/>
        <rFont val="Arial"/>
        <family val="2"/>
      </rPr>
      <t>31/12/18</t>
    </r>
  </si>
  <si>
    <r>
      <t xml:space="preserve">Ratio de deuda prevista a </t>
    </r>
    <r>
      <rPr>
        <b/>
        <sz val="7"/>
        <rFont val="Arial"/>
        <family val="2"/>
      </rPr>
      <t>31/12/19</t>
    </r>
  </si>
  <si>
    <r>
      <t xml:space="preserve">Ratio de deuda prevista a </t>
    </r>
    <r>
      <rPr>
        <b/>
        <sz val="7"/>
        <rFont val="Arial"/>
        <family val="2"/>
      </rPr>
      <t>31/12/20</t>
    </r>
  </si>
  <si>
    <r>
      <t xml:space="preserve">Ratio de deuda prevista a </t>
    </r>
    <r>
      <rPr>
        <b/>
        <sz val="7"/>
        <rFont val="Arial"/>
        <family val="2"/>
      </rPr>
      <t>31/12/21</t>
    </r>
  </si>
  <si>
    <r>
      <t xml:space="preserve">Ratio de deuda prevista a </t>
    </r>
    <r>
      <rPr>
        <b/>
        <sz val="7"/>
        <rFont val="Arial"/>
        <family val="2"/>
      </rPr>
      <t>31/12/22</t>
    </r>
  </si>
  <si>
    <r>
      <t xml:space="preserve">Ratio de deuda prevista a </t>
    </r>
    <r>
      <rPr>
        <b/>
        <sz val="7"/>
        <rFont val="Arial"/>
        <family val="2"/>
      </rPr>
      <t>31/12/23</t>
    </r>
  </si>
  <si>
    <r>
      <t xml:space="preserve">Ratio de deuda prevista a </t>
    </r>
    <r>
      <rPr>
        <b/>
        <sz val="7"/>
        <rFont val="Arial"/>
        <family val="2"/>
      </rPr>
      <t>31/12/24</t>
    </r>
  </si>
  <si>
    <r>
      <t xml:space="preserve">Ratio de deuda prevista a </t>
    </r>
    <r>
      <rPr>
        <b/>
        <sz val="7"/>
        <rFont val="Arial"/>
        <family val="2"/>
      </rPr>
      <t>31/12/25</t>
    </r>
  </si>
  <si>
    <r>
      <t xml:space="preserve">Ratio de deuda prevista a </t>
    </r>
    <r>
      <rPr>
        <b/>
        <sz val="7"/>
        <rFont val="Arial"/>
        <family val="2"/>
      </rPr>
      <t>31/12/26</t>
    </r>
  </si>
  <si>
    <r>
      <t xml:space="preserve">Ratio de deuda prevista a </t>
    </r>
    <r>
      <rPr>
        <b/>
        <sz val="7"/>
        <rFont val="Arial"/>
        <family val="2"/>
      </rPr>
      <t>31/12/27</t>
    </r>
  </si>
  <si>
    <r>
      <t xml:space="preserve">Ratio de deuda prevista a </t>
    </r>
    <r>
      <rPr>
        <b/>
        <sz val="7"/>
        <rFont val="Arial"/>
        <family val="2"/>
      </rPr>
      <t>31/12/28</t>
    </r>
  </si>
  <si>
    <r>
      <t xml:space="preserve">Ratio de deuda prevista a </t>
    </r>
    <r>
      <rPr>
        <b/>
        <sz val="7"/>
        <rFont val="Arial"/>
        <family val="2"/>
      </rPr>
      <t>31/12/29</t>
    </r>
  </si>
  <si>
    <r>
      <t xml:space="preserve">Ratio de deuda prevista a </t>
    </r>
    <r>
      <rPr>
        <b/>
        <sz val="7"/>
        <rFont val="Arial"/>
        <family val="2"/>
      </rPr>
      <t>31/12/30</t>
    </r>
  </si>
  <si>
    <r>
      <t xml:space="preserve">Ratio de deuda prevista a </t>
    </r>
    <r>
      <rPr>
        <b/>
        <sz val="7"/>
        <rFont val="Arial"/>
        <family val="2"/>
      </rPr>
      <t>31/12/31</t>
    </r>
  </si>
  <si>
    <t>Refinanciación 2016</t>
  </si>
  <si>
    <t>Inversiones 2018 Complementario</t>
  </si>
  <si>
    <t>Inversiones 2017</t>
  </si>
  <si>
    <t xml:space="preserve">
Viviendas sociales</t>
  </si>
  <si>
    <t xml:space="preserve"> 
Viviendas sociales</t>
  </si>
  <si>
    <r>
      <t xml:space="preserve">TOTAL DEUDA </t>
    </r>
    <r>
      <rPr>
        <b/>
        <u/>
        <sz val="7"/>
        <rFont val="Arial"/>
        <family val="2"/>
      </rPr>
      <t>SIN</t>
    </r>
    <r>
      <rPr>
        <b/>
        <sz val="7"/>
        <rFont val="Arial"/>
        <family val="2"/>
      </rPr>
      <t xml:space="preserve"> INCLUIR REINTEGROS PTE</t>
    </r>
  </si>
  <si>
    <t>Capital vivo a 01/01/2030</t>
  </si>
  <si>
    <t>Capital amortizado 2030</t>
  </si>
  <si>
    <t>Capital vivo a 01/01/2031</t>
  </si>
  <si>
    <t>Capital amortizado 2031</t>
  </si>
  <si>
    <t>Centro de Arte 2006</t>
  </si>
  <si>
    <t>AMORTIZADO  Y CANCELADO 30-12-2020</t>
  </si>
  <si>
    <t>Amortización extraord 2022</t>
  </si>
  <si>
    <t>Capital amortizado 2022 (A ordinaria)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</si>
</sst>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d\-mmm"/>
    <numFmt numFmtId="165" formatCode="[$-C0A]d\-mmm\-yy;@"/>
    <numFmt numFmtId="166" formatCode="#,##0.00\ &quot;€&quot;"/>
  </numFmts>
  <fonts count="46" x14ac:knownFonts="1"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7"/>
      <color indexed="10"/>
      <name val="Arial"/>
      <family val="2"/>
    </font>
    <font>
      <sz val="7"/>
      <color indexed="9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6"/>
      <name val="Gill Sans"/>
      <family val="2"/>
    </font>
    <font>
      <sz val="1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sz val="4"/>
      <name val="Arial"/>
      <family val="2"/>
    </font>
    <font>
      <sz val="5.5"/>
      <name val="Arial"/>
      <family val="2"/>
    </font>
    <font>
      <i/>
      <sz val="6"/>
      <name val="Arial"/>
      <family val="2"/>
    </font>
    <font>
      <b/>
      <sz val="7"/>
      <color theme="0"/>
      <name val="Arial"/>
      <family val="2"/>
    </font>
    <font>
      <b/>
      <sz val="5"/>
      <color theme="0"/>
      <name val="Arial"/>
      <family val="2"/>
    </font>
    <font>
      <b/>
      <sz val="9"/>
      <color theme="0"/>
      <name val="Arial"/>
      <family val="2"/>
    </font>
    <font>
      <b/>
      <sz val="5"/>
      <color rgb="FFFF0000"/>
      <name val="Arial"/>
      <family val="2"/>
    </font>
    <font>
      <sz val="7"/>
      <color rgb="FFFF0000"/>
      <name val="Arial"/>
      <family val="2"/>
    </font>
    <font>
      <b/>
      <sz val="5"/>
      <color indexed="10"/>
      <name val="Arial"/>
      <family val="2"/>
    </font>
    <font>
      <b/>
      <sz val="9"/>
      <color indexed="12"/>
      <name val="Arial"/>
      <family val="2"/>
    </font>
    <font>
      <sz val="4"/>
      <name val="Arial"/>
      <family val="2"/>
    </font>
    <font>
      <b/>
      <sz val="9"/>
      <name val="Arial"/>
      <family val="2"/>
    </font>
    <font>
      <b/>
      <sz val="4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theme="0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b/>
      <sz val="7"/>
      <color indexed="18"/>
      <name val="Arial"/>
      <family val="2"/>
    </font>
    <font>
      <b/>
      <sz val="7"/>
      <color indexed="17"/>
      <name val="Arial"/>
      <family val="2"/>
    </font>
    <font>
      <b/>
      <sz val="7"/>
      <color rgb="FFFF000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color indexed="12"/>
      <name val="Arial"/>
      <family val="2"/>
    </font>
    <font>
      <sz val="7"/>
      <name val="Gill Sans"/>
      <family val="2"/>
    </font>
    <font>
      <i/>
      <sz val="7"/>
      <name val="Arial"/>
      <family val="2"/>
    </font>
    <font>
      <sz val="7"/>
      <color rgb="FF000000"/>
      <name val="Verdana"/>
      <family val="2"/>
    </font>
    <font>
      <b/>
      <u/>
      <sz val="7"/>
      <name val="Arial"/>
      <family val="2"/>
    </font>
    <font>
      <b/>
      <sz val="7"/>
      <color indexed="60"/>
      <name val="Arial"/>
      <family val="2"/>
    </font>
    <font>
      <b/>
      <sz val="7"/>
      <color indexed="56"/>
      <name val="Arial"/>
      <family val="2"/>
    </font>
    <font>
      <sz val="5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81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5" fontId="1" fillId="0" borderId="0" xfId="0" applyNumberFormat="1" applyFont="1"/>
    <xf numFmtId="16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5" fontId="10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" fillId="12" borderId="0" xfId="0" applyFont="1" applyFill="1"/>
    <xf numFmtId="0" fontId="10" fillId="12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/>
    </xf>
    <xf numFmtId="0" fontId="22" fillId="0" borderId="0" xfId="0" applyFont="1"/>
    <xf numFmtId="166" fontId="13" fillId="0" borderId="1" xfId="0" applyNumberFormat="1" applyFont="1" applyBorder="1"/>
    <xf numFmtId="0" fontId="25" fillId="0" borderId="0" xfId="0" applyFont="1" applyAlignment="1">
      <alignment horizontal="center" vertical="center" wrapText="1"/>
    </xf>
    <xf numFmtId="0" fontId="16" fillId="0" borderId="0" xfId="0" applyFont="1"/>
    <xf numFmtId="4" fontId="19" fillId="12" borderId="0" xfId="0" applyNumberFormat="1" applyFont="1" applyFill="1" applyAlignment="1">
      <alignment horizontal="center" vertical="center"/>
    </xf>
    <xf numFmtId="0" fontId="1" fillId="17" borderId="0" xfId="0" applyFont="1" applyFill="1"/>
    <xf numFmtId="166" fontId="25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28" fillId="0" borderId="0" xfId="0" applyFont="1"/>
    <xf numFmtId="0" fontId="3" fillId="16" borderId="0" xfId="0" applyFont="1" applyFill="1"/>
    <xf numFmtId="0" fontId="18" fillId="0" borderId="0" xfId="0" applyFont="1" applyAlignment="1">
      <alignment horizontal="left" vertical="center" wrapText="1"/>
    </xf>
    <xf numFmtId="0" fontId="3" fillId="12" borderId="0" xfId="0" applyFont="1" applyFill="1"/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left" vertical="center" wrapText="1"/>
    </xf>
    <xf numFmtId="0" fontId="7" fillId="12" borderId="0" xfId="0" applyFont="1" applyFill="1"/>
    <xf numFmtId="0" fontId="26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16" borderId="0" xfId="0" applyFont="1" applyFill="1"/>
    <xf numFmtId="1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16" fillId="0" borderId="2" xfId="0" applyFont="1" applyBorder="1"/>
    <xf numFmtId="0" fontId="2" fillId="4" borderId="2" xfId="0" applyFont="1" applyFill="1" applyBorder="1" applyAlignment="1">
      <alignment horizontal="center" vertical="center" wrapText="1"/>
    </xf>
    <xf numFmtId="15" fontId="2" fillId="2" borderId="2" xfId="0" applyNumberFormat="1" applyFont="1" applyFill="1" applyBorder="1" applyAlignment="1">
      <alignment horizontal="center" vertical="center" wrapText="1"/>
    </xf>
    <xf numFmtId="4" fontId="10" fillId="12" borderId="2" xfId="0" applyNumberFormat="1" applyFont="1" applyFill="1" applyBorder="1" applyAlignment="1">
      <alignment horizontal="center" vertical="center" wrapText="1"/>
    </xf>
    <xf numFmtId="15" fontId="1" fillId="12" borderId="2" xfId="0" applyNumberFormat="1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4" fontId="1" fillId="12" borderId="2" xfId="0" applyNumberFormat="1" applyFont="1" applyFill="1" applyBorder="1" applyAlignment="1">
      <alignment horizontal="center" vertical="center" wrapText="1"/>
    </xf>
    <xf numFmtId="4" fontId="1" fillId="1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4" fontId="10" fillId="12" borderId="2" xfId="0" applyNumberFormat="1" applyFont="1" applyFill="1" applyBorder="1"/>
    <xf numFmtId="4" fontId="20" fillId="12" borderId="2" xfId="0" applyNumberFormat="1" applyFont="1" applyFill="1" applyBorder="1" applyAlignment="1">
      <alignment horizontal="center" vertical="center"/>
    </xf>
    <xf numFmtId="15" fontId="1" fillId="12" borderId="2" xfId="0" applyNumberFormat="1" applyFont="1" applyFill="1" applyBorder="1"/>
    <xf numFmtId="4" fontId="1" fillId="12" borderId="2" xfId="0" applyNumberFormat="1" applyFont="1" applyFill="1" applyBorder="1"/>
    <xf numFmtId="0" fontId="1" fillId="0" borderId="2" xfId="0" applyFont="1" applyBorder="1"/>
    <xf numFmtId="0" fontId="1" fillId="12" borderId="2" xfId="0" applyFont="1" applyFill="1" applyBorder="1"/>
    <xf numFmtId="15" fontId="10" fillId="12" borderId="2" xfId="0" applyNumberFormat="1" applyFont="1" applyFill="1" applyBorder="1"/>
    <xf numFmtId="4" fontId="11" fillId="12" borderId="2" xfId="0" applyNumberFormat="1" applyFont="1" applyFill="1" applyBorder="1"/>
    <xf numFmtId="4" fontId="10" fillId="12" borderId="2" xfId="0" applyNumberFormat="1" applyFont="1" applyFill="1" applyBorder="1" applyAlignment="1">
      <alignment horizontal="center"/>
    </xf>
    <xf numFmtId="164" fontId="10" fillId="12" borderId="2" xfId="0" applyNumberFormat="1" applyFont="1" applyFill="1" applyBorder="1" applyAlignment="1">
      <alignment horizontal="center"/>
    </xf>
    <xf numFmtId="4" fontId="10" fillId="12" borderId="2" xfId="0" applyNumberFormat="1" applyFont="1" applyFill="1" applyBorder="1" applyAlignment="1">
      <alignment horizontal="right"/>
    </xf>
    <xf numFmtId="49" fontId="10" fillId="12" borderId="2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 vertical="center" wrapText="1"/>
    </xf>
    <xf numFmtId="4" fontId="16" fillId="12" borderId="2" xfId="0" applyNumberFormat="1" applyFont="1" applyFill="1" applyBorder="1"/>
    <xf numFmtId="4" fontId="30" fillId="12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left"/>
    </xf>
    <xf numFmtId="0" fontId="22" fillId="0" borderId="2" xfId="0" applyFont="1" applyBorder="1"/>
    <xf numFmtId="4" fontId="17" fillId="12" borderId="2" xfId="0" applyNumberFormat="1" applyFont="1" applyFill="1" applyBorder="1"/>
    <xf numFmtId="166" fontId="17" fillId="12" borderId="2" xfId="0" applyNumberFormat="1" applyFont="1" applyFill="1" applyBorder="1"/>
    <xf numFmtId="4" fontId="13" fillId="0" borderId="2" xfId="0" applyNumberFormat="1" applyFont="1" applyBorder="1"/>
    <xf numFmtId="166" fontId="16" fillId="12" borderId="2" xfId="0" applyNumberFormat="1" applyFont="1" applyFill="1" applyBorder="1"/>
    <xf numFmtId="166" fontId="13" fillId="12" borderId="2" xfId="0" applyNumberFormat="1" applyFont="1" applyFill="1" applyBorder="1"/>
    <xf numFmtId="166" fontId="14" fillId="12" borderId="2" xfId="0" applyNumberFormat="1" applyFont="1" applyFill="1" applyBorder="1"/>
    <xf numFmtId="0" fontId="1" fillId="4" borderId="2" xfId="0" applyFont="1" applyFill="1" applyBorder="1"/>
    <xf numFmtId="4" fontId="7" fillId="12" borderId="2" xfId="0" applyNumberFormat="1" applyFont="1" applyFill="1" applyBorder="1"/>
    <xf numFmtId="0" fontId="1" fillId="0" borderId="2" xfId="0" applyFont="1" applyBorder="1" applyAlignment="1">
      <alignment horizontal="center"/>
    </xf>
    <xf numFmtId="15" fontId="1" fillId="0" borderId="2" xfId="0" applyNumberFormat="1" applyFont="1" applyBorder="1"/>
    <xf numFmtId="0" fontId="24" fillId="0" borderId="2" xfId="0" applyFont="1" applyBorder="1" applyAlignment="1">
      <alignment horizontal="left" vertical="center" wrapText="1"/>
    </xf>
    <xf numFmtId="4" fontId="1" fillId="12" borderId="2" xfId="0" applyNumberFormat="1" applyFont="1" applyFill="1" applyBorder="1" applyAlignment="1">
      <alignment horizontal="right"/>
    </xf>
    <xf numFmtId="0" fontId="28" fillId="0" borderId="2" xfId="0" applyFont="1" applyBorder="1"/>
    <xf numFmtId="0" fontId="29" fillId="12" borderId="2" xfId="0" applyFont="1" applyFill="1" applyBorder="1"/>
    <xf numFmtId="0" fontId="29" fillId="1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5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/>
    <xf numFmtId="0" fontId="1" fillId="14" borderId="2" xfId="0" applyFont="1" applyFill="1" applyBorder="1" applyAlignment="1">
      <alignment horizontal="center" vertical="center" wrapText="1"/>
    </xf>
    <xf numFmtId="0" fontId="7" fillId="17" borderId="2" xfId="0" applyFont="1" applyFill="1" applyBorder="1"/>
    <xf numFmtId="0" fontId="7" fillId="0" borderId="2" xfId="0" applyFont="1" applyBorder="1"/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23" fillId="0" borderId="2" xfId="0" applyFont="1" applyBorder="1"/>
    <xf numFmtId="15" fontId="1" fillId="17" borderId="2" xfId="0" applyNumberFormat="1" applyFont="1" applyFill="1" applyBorder="1"/>
    <xf numFmtId="0" fontId="2" fillId="17" borderId="2" xfId="0" applyFont="1" applyFill="1" applyBorder="1" applyAlignment="1">
      <alignment horizontal="center" vertical="center" wrapText="1"/>
    </xf>
    <xf numFmtId="4" fontId="2" fillId="17" borderId="2" xfId="0" applyNumberFormat="1" applyFont="1" applyFill="1" applyBorder="1" applyAlignment="1">
      <alignment horizontal="center" vertical="center" wrapText="1"/>
    </xf>
    <xf numFmtId="164" fontId="1" fillId="17" borderId="2" xfId="0" applyNumberFormat="1" applyFont="1" applyFill="1" applyBorder="1" applyAlignment="1">
      <alignment horizontal="center"/>
    </xf>
    <xf numFmtId="0" fontId="1" fillId="17" borderId="2" xfId="0" applyFont="1" applyFill="1" applyBorder="1"/>
    <xf numFmtId="0" fontId="1" fillId="17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0" fontId="15" fillId="12" borderId="2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" fontId="10" fillId="12" borderId="8" xfId="0" applyNumberFormat="1" applyFont="1" applyFill="1" applyBorder="1"/>
    <xf numFmtId="4" fontId="20" fillId="12" borderId="8" xfId="0" applyNumberFormat="1" applyFont="1" applyFill="1" applyBorder="1" applyAlignment="1">
      <alignment horizontal="center" vertical="center"/>
    </xf>
    <xf numFmtId="4" fontId="1" fillId="12" borderId="8" xfId="0" applyNumberFormat="1" applyFont="1" applyFill="1" applyBorder="1"/>
    <xf numFmtId="4" fontId="30" fillId="12" borderId="8" xfId="0" applyNumberFormat="1" applyFont="1" applyFill="1" applyBorder="1" applyAlignment="1">
      <alignment vertical="center"/>
    </xf>
    <xf numFmtId="4" fontId="13" fillId="0" borderId="8" xfId="0" applyNumberFormat="1" applyFont="1" applyBorder="1"/>
    <xf numFmtId="166" fontId="16" fillId="12" borderId="8" xfId="0" applyNumberFormat="1" applyFont="1" applyFill="1" applyBorder="1"/>
    <xf numFmtId="166" fontId="13" fillId="12" borderId="8" xfId="0" applyNumberFormat="1" applyFont="1" applyFill="1" applyBorder="1"/>
    <xf numFmtId="4" fontId="10" fillId="12" borderId="8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29" fillId="12" borderId="8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29" fillId="12" borderId="2" xfId="0" applyNumberFormat="1" applyFont="1" applyFill="1" applyBorder="1" applyAlignment="1">
      <alignment horizontal="right"/>
    </xf>
    <xf numFmtId="0" fontId="14" fillId="12" borderId="2" xfId="0" applyFont="1" applyFill="1" applyBorder="1" applyAlignment="1">
      <alignment horizontal="center" vertical="center" wrapText="1"/>
    </xf>
    <xf numFmtId="4" fontId="14" fillId="12" borderId="2" xfId="0" applyNumberFormat="1" applyFont="1" applyFill="1" applyBorder="1" applyAlignment="1">
      <alignment horizontal="center" vertical="center" wrapText="1"/>
    </xf>
    <xf numFmtId="164" fontId="13" fillId="12" borderId="2" xfId="0" applyNumberFormat="1" applyFont="1" applyFill="1" applyBorder="1" applyAlignment="1">
      <alignment horizontal="center"/>
    </xf>
    <xf numFmtId="0" fontId="13" fillId="12" borderId="2" xfId="0" applyFont="1" applyFill="1" applyBorder="1"/>
    <xf numFmtId="0" fontId="13" fillId="12" borderId="2" xfId="0" applyFont="1" applyFill="1" applyBorder="1" applyAlignment="1">
      <alignment horizontal="center" vertical="center" wrapText="1"/>
    </xf>
    <xf numFmtId="4" fontId="13" fillId="12" borderId="2" xfId="0" applyNumberFormat="1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166" fontId="25" fillId="12" borderId="2" xfId="0" applyNumberFormat="1" applyFont="1" applyFill="1" applyBorder="1" applyAlignment="1">
      <alignment horizontal="center" vertical="center" wrapText="1"/>
    </xf>
    <xf numFmtId="10" fontId="4" fillId="12" borderId="2" xfId="0" applyNumberFormat="1" applyFont="1" applyFill="1" applyBorder="1" applyAlignment="1">
      <alignment horizontal="center" vertical="center" wrapText="1"/>
    </xf>
    <xf numFmtId="4" fontId="2" fillId="20" borderId="2" xfId="0" applyNumberFormat="1" applyFont="1" applyFill="1" applyBorder="1" applyAlignment="1">
      <alignment horizontal="center" vertical="center" wrapText="1"/>
    </xf>
    <xf numFmtId="4" fontId="2" fillId="17" borderId="2" xfId="0" applyNumberFormat="1" applyFont="1" applyFill="1" applyBorder="1" applyAlignment="1">
      <alignment horizontal="center" vertical="center"/>
    </xf>
    <xf numFmtId="4" fontId="33" fillId="17" borderId="2" xfId="0" applyNumberFormat="1" applyFont="1" applyFill="1" applyBorder="1" applyAlignment="1">
      <alignment horizontal="center" vertical="center"/>
    </xf>
    <xf numFmtId="4" fontId="33" fillId="17" borderId="8" xfId="0" applyNumberFormat="1" applyFont="1" applyFill="1" applyBorder="1" applyAlignment="1">
      <alignment horizontal="center" vertical="center"/>
    </xf>
    <xf numFmtId="4" fontId="36" fillId="0" borderId="2" xfId="0" applyNumberFormat="1" applyFont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10" fontId="2" fillId="14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0" fontId="2" fillId="12" borderId="2" xfId="0" applyNumberFormat="1" applyFont="1" applyFill="1" applyBorder="1" applyAlignment="1">
      <alignment horizontal="center" vertical="center" wrapText="1"/>
    </xf>
    <xf numFmtId="166" fontId="1" fillId="12" borderId="2" xfId="0" applyNumberFormat="1" applyFont="1" applyFill="1" applyBorder="1" applyAlignment="1">
      <alignment horizontal="center" vertical="center" wrapText="1"/>
    </xf>
    <xf numFmtId="10" fontId="2" fillId="14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" fontId="1" fillId="2" borderId="2" xfId="0" applyNumberFormat="1" applyFont="1" applyFill="1" applyBorder="1"/>
    <xf numFmtId="4" fontId="37" fillId="9" borderId="2" xfId="0" applyNumberFormat="1" applyFont="1" applyFill="1" applyBorder="1"/>
    <xf numFmtId="4" fontId="1" fillId="8" borderId="2" xfId="0" applyNumberFormat="1" applyFont="1" applyFill="1" applyBorder="1"/>
    <xf numFmtId="4" fontId="35" fillId="11" borderId="2" xfId="0" applyNumberFormat="1" applyFont="1" applyFill="1" applyBorder="1"/>
    <xf numFmtId="4" fontId="18" fillId="12" borderId="2" xfId="0" applyNumberFormat="1" applyFont="1" applyFill="1" applyBorder="1" applyAlignment="1">
      <alignment vertical="center"/>
    </xf>
    <xf numFmtId="4" fontId="18" fillId="12" borderId="2" xfId="0" applyNumberFormat="1" applyFont="1" applyFill="1" applyBorder="1" applyAlignment="1">
      <alignment horizontal="center" vertical="center"/>
    </xf>
    <xf numFmtId="4" fontId="18" fillId="12" borderId="8" xfId="0" applyNumberFormat="1" applyFont="1" applyFill="1" applyBorder="1" applyAlignment="1">
      <alignment horizontal="center" vertical="center"/>
    </xf>
    <xf numFmtId="4" fontId="35" fillId="12" borderId="2" xfId="0" applyNumberFormat="1" applyFont="1" applyFill="1" applyBorder="1"/>
    <xf numFmtId="4" fontId="2" fillId="12" borderId="2" xfId="0" applyNumberFormat="1" applyFont="1" applyFill="1" applyBorder="1" applyAlignment="1">
      <alignment horizontal="center"/>
    </xf>
    <xf numFmtId="4" fontId="39" fillId="0" borderId="2" xfId="0" applyNumberFormat="1" applyFont="1" applyBorder="1"/>
    <xf numFmtId="4" fontId="2" fillId="11" borderId="2" xfId="0" applyNumberFormat="1" applyFont="1" applyFill="1" applyBorder="1"/>
    <xf numFmtId="0" fontId="1" fillId="12" borderId="2" xfId="0" applyFont="1" applyFill="1" applyBorder="1" applyAlignment="1">
      <alignment horizontal="left"/>
    </xf>
    <xf numFmtId="4" fontId="39" fillId="12" borderId="2" xfId="0" applyNumberFormat="1" applyFont="1" applyFill="1" applyBorder="1"/>
    <xf numFmtId="4" fontId="1" fillId="12" borderId="2" xfId="0" applyNumberFormat="1" applyFont="1" applyFill="1" applyBorder="1" applyAlignment="1">
      <alignment horizontal="center"/>
    </xf>
    <xf numFmtId="164" fontId="1" fillId="12" borderId="2" xfId="0" applyNumberFormat="1" applyFont="1" applyFill="1" applyBorder="1" applyAlignment="1">
      <alignment horizontal="center"/>
    </xf>
    <xf numFmtId="49" fontId="1" fillId="1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/>
    </xf>
    <xf numFmtId="166" fontId="1" fillId="0" borderId="2" xfId="0" applyNumberFormat="1" applyFont="1" applyBorder="1"/>
    <xf numFmtId="4" fontId="18" fillId="18" borderId="2" xfId="0" applyNumberFormat="1" applyFont="1" applyFill="1" applyBorder="1" applyAlignment="1">
      <alignment vertical="center"/>
    </xf>
    <xf numFmtId="4" fontId="18" fillId="12" borderId="8" xfId="0" applyNumberFormat="1" applyFont="1" applyFill="1" applyBorder="1" applyAlignment="1">
      <alignment vertical="center"/>
    </xf>
    <xf numFmtId="166" fontId="2" fillId="11" borderId="2" xfId="0" applyNumberFormat="1" applyFont="1" applyFill="1" applyBorder="1"/>
    <xf numFmtId="4" fontId="22" fillId="0" borderId="2" xfId="0" applyNumberFormat="1" applyFont="1" applyBorder="1"/>
    <xf numFmtId="166" fontId="40" fillId="0" borderId="2" xfId="0" applyNumberFormat="1" applyFont="1" applyBorder="1"/>
    <xf numFmtId="0" fontId="2" fillId="0" borderId="2" xfId="0" applyFont="1" applyBorder="1" applyAlignment="1">
      <alignment horizontal="left"/>
    </xf>
    <xf numFmtId="166" fontId="1" fillId="0" borderId="8" xfId="0" applyNumberFormat="1" applyFont="1" applyBorder="1"/>
    <xf numFmtId="166" fontId="22" fillId="0" borderId="2" xfId="0" applyNumberFormat="1" applyFont="1" applyBorder="1"/>
    <xf numFmtId="4" fontId="2" fillId="2" borderId="2" xfId="0" applyNumberFormat="1" applyFont="1" applyFill="1" applyBorder="1"/>
    <xf numFmtId="4" fontId="2" fillId="12" borderId="2" xfId="0" applyNumberFormat="1" applyFont="1" applyFill="1" applyBorder="1"/>
    <xf numFmtId="4" fontId="40" fillId="12" borderId="2" xfId="0" applyNumberFormat="1" applyFont="1" applyFill="1" applyBorder="1"/>
    <xf numFmtId="166" fontId="40" fillId="12" borderId="2" xfId="0" applyNumberFormat="1" applyFont="1" applyFill="1" applyBorder="1"/>
    <xf numFmtId="0" fontId="35" fillId="0" borderId="2" xfId="0" applyFont="1" applyBorder="1" applyAlignment="1">
      <alignment horizontal="left"/>
    </xf>
    <xf numFmtId="0" fontId="38" fillId="12" borderId="2" xfId="0" applyFont="1" applyFill="1" applyBorder="1" applyAlignment="1">
      <alignment horizontal="center"/>
    </xf>
    <xf numFmtId="166" fontId="1" fillId="11" borderId="2" xfId="0" applyNumberFormat="1" applyFont="1" applyFill="1" applyBorder="1"/>
    <xf numFmtId="0" fontId="38" fillId="0" borderId="2" xfId="0" applyFont="1" applyBorder="1" applyAlignment="1">
      <alignment horizontal="center"/>
    </xf>
    <xf numFmtId="0" fontId="38" fillId="0" borderId="2" xfId="0" applyFont="1" applyBorder="1"/>
    <xf numFmtId="166" fontId="1" fillId="12" borderId="2" xfId="0" applyNumberFormat="1" applyFont="1" applyFill="1" applyBorder="1"/>
    <xf numFmtId="0" fontId="2" fillId="0" borderId="2" xfId="0" applyFont="1" applyBorder="1"/>
    <xf numFmtId="166" fontId="2" fillId="12" borderId="2" xfId="0" applyNumberFormat="1" applyFont="1" applyFill="1" applyBorder="1"/>
    <xf numFmtId="4" fontId="2" fillId="11" borderId="2" xfId="0" applyNumberFormat="1" applyFont="1" applyFill="1" applyBorder="1" applyAlignment="1">
      <alignment horizontal="right"/>
    </xf>
    <xf numFmtId="3" fontId="41" fillId="0" borderId="2" xfId="0" applyNumberFormat="1" applyFont="1" applyBorder="1"/>
    <xf numFmtId="0" fontId="38" fillId="0" borderId="2" xfId="0" applyFont="1" applyBorder="1" applyAlignment="1">
      <alignment horizontal="center" vertical="center"/>
    </xf>
    <xf numFmtId="44" fontId="1" fillId="12" borderId="2" xfId="1" applyFont="1" applyFill="1" applyBorder="1" applyAlignment="1">
      <alignment horizontal="center"/>
    </xf>
    <xf numFmtId="4" fontId="1" fillId="15" borderId="2" xfId="0" applyNumberFormat="1" applyFont="1" applyFill="1" applyBorder="1" applyAlignment="1">
      <alignment horizontal="right"/>
    </xf>
    <xf numFmtId="44" fontId="1" fillId="15" borderId="2" xfId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0" fontId="1" fillId="1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" fontId="40" fillId="0" borderId="2" xfId="0" applyNumberFormat="1" applyFont="1" applyBorder="1"/>
    <xf numFmtId="4" fontId="35" fillId="11" borderId="2" xfId="0" applyNumberFormat="1" applyFont="1" applyFill="1" applyBorder="1" applyAlignment="1">
      <alignment vertical="center"/>
    </xf>
    <xf numFmtId="0" fontId="24" fillId="0" borderId="2" xfId="0" applyFont="1" applyBorder="1" applyAlignment="1">
      <alignment horizontal="left"/>
    </xf>
    <xf numFmtId="165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4" fontId="1" fillId="0" borderId="2" xfId="1" applyFont="1" applyFill="1" applyBorder="1" applyAlignment="1">
      <alignment horizontal="center"/>
    </xf>
    <xf numFmtId="44" fontId="1" fillId="2" borderId="2" xfId="1" applyFont="1" applyFill="1" applyBorder="1" applyAlignment="1">
      <alignment horizontal="center"/>
    </xf>
    <xf numFmtId="44" fontId="34" fillId="5" borderId="2" xfId="1" applyFont="1" applyFill="1" applyBorder="1" applyAlignment="1">
      <alignment horizontal="center"/>
    </xf>
    <xf numFmtId="44" fontId="1" fillId="2" borderId="2" xfId="0" applyNumberFormat="1" applyFont="1" applyFill="1" applyBorder="1" applyAlignment="1">
      <alignment horizontal="center"/>
    </xf>
    <xf numFmtId="44" fontId="37" fillId="9" borderId="2" xfId="1" applyFont="1" applyFill="1" applyBorder="1" applyAlignment="1">
      <alignment horizontal="center"/>
    </xf>
    <xf numFmtId="44" fontId="37" fillId="12" borderId="2" xfId="1" applyFont="1" applyFill="1" applyBorder="1" applyAlignment="1">
      <alignment horizontal="center"/>
    </xf>
    <xf numFmtId="44" fontId="1" fillId="12" borderId="2" xfId="0" applyNumberFormat="1" applyFont="1" applyFill="1" applyBorder="1" applyAlignment="1">
      <alignment horizontal="center"/>
    </xf>
    <xf numFmtId="44" fontId="37" fillId="12" borderId="8" xfId="1" applyFont="1" applyFill="1" applyBorder="1" applyAlignment="1">
      <alignment horizontal="center"/>
    </xf>
    <xf numFmtId="4" fontId="43" fillId="2" borderId="2" xfId="0" applyNumberFormat="1" applyFont="1" applyFill="1" applyBorder="1" applyAlignment="1">
      <alignment horizontal="center"/>
    </xf>
    <xf numFmtId="15" fontId="1" fillId="2" borderId="2" xfId="0" applyNumberFormat="1" applyFont="1" applyFill="1" applyBorder="1"/>
    <xf numFmtId="4" fontId="33" fillId="2" borderId="2" xfId="0" applyNumberFormat="1" applyFont="1" applyFill="1" applyBorder="1" applyAlignment="1">
      <alignment horizontal="center"/>
    </xf>
    <xf numFmtId="4" fontId="33" fillId="7" borderId="2" xfId="0" applyNumberFormat="1" applyFont="1" applyFill="1" applyBorder="1" applyAlignment="1">
      <alignment horizontal="center"/>
    </xf>
    <xf numFmtId="4" fontId="33" fillId="6" borderId="2" xfId="0" applyNumberFormat="1" applyFont="1" applyFill="1" applyBorder="1" applyAlignment="1">
      <alignment horizontal="center"/>
    </xf>
    <xf numFmtId="4" fontId="44" fillId="7" borderId="2" xfId="0" applyNumberFormat="1" applyFont="1" applyFill="1" applyBorder="1"/>
    <xf numFmtId="4" fontId="2" fillId="13" borderId="2" xfId="0" applyNumberFormat="1" applyFont="1" applyFill="1" applyBorder="1" applyAlignment="1">
      <alignment horizontal="center"/>
    </xf>
    <xf numFmtId="4" fontId="33" fillId="10" borderId="2" xfId="0" applyNumberFormat="1" applyFont="1" applyFill="1" applyBorder="1" applyAlignment="1">
      <alignment horizontal="center"/>
    </xf>
    <xf numFmtId="4" fontId="35" fillId="13" borderId="2" xfId="0" applyNumberFormat="1" applyFont="1" applyFill="1" applyBorder="1" applyAlignment="1">
      <alignment horizontal="center"/>
    </xf>
    <xf numFmtId="4" fontId="33" fillId="10" borderId="8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14" borderId="2" xfId="0" applyNumberFormat="1" applyFont="1" applyFill="1" applyBorder="1" applyAlignment="1">
      <alignment horizontal="left"/>
    </xf>
    <xf numFmtId="4" fontId="1" fillId="14" borderId="2" xfId="0" applyNumberFormat="1" applyFont="1" applyFill="1" applyBorder="1" applyAlignment="1">
      <alignment horizontal="center"/>
    </xf>
    <xf numFmtId="4" fontId="35" fillId="14" borderId="2" xfId="0" applyNumberFormat="1" applyFont="1" applyFill="1" applyBorder="1" applyAlignment="1">
      <alignment horizontal="left"/>
    </xf>
    <xf numFmtId="4" fontId="22" fillId="14" borderId="2" xfId="0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12" borderId="2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38" fillId="12" borderId="2" xfId="0" applyFont="1" applyFill="1" applyBorder="1"/>
    <xf numFmtId="0" fontId="1" fillId="12" borderId="2" xfId="0" applyFont="1" applyFill="1" applyBorder="1" applyAlignment="1">
      <alignment vertical="center" wrapText="1"/>
    </xf>
    <xf numFmtId="0" fontId="38" fillId="12" borderId="7" xfId="0" applyFont="1" applyFill="1" applyBorder="1"/>
    <xf numFmtId="0" fontId="1" fillId="12" borderId="7" xfId="0" applyFont="1" applyFill="1" applyBorder="1" applyAlignment="1">
      <alignment vertical="center" wrapText="1"/>
    </xf>
    <xf numFmtId="15" fontId="1" fillId="12" borderId="9" xfId="0" applyNumberFormat="1" applyFont="1" applyFill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4" fontId="2" fillId="0" borderId="2" xfId="1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18" fillId="18" borderId="2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4" fontId="18" fillId="12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4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2" fillId="14" borderId="2" xfId="0" applyNumberFormat="1" applyFont="1" applyFill="1" applyBorder="1" applyAlignment="1">
      <alignment horizontal="right"/>
    </xf>
    <xf numFmtId="0" fontId="38" fillId="0" borderId="2" xfId="0" applyFont="1" applyBorder="1" applyAlignment="1">
      <alignment horizontal="left" vertical="center" wrapText="1"/>
    </xf>
    <xf numFmtId="4" fontId="35" fillId="0" borderId="2" xfId="0" applyNumberFormat="1" applyFont="1" applyBorder="1" applyAlignment="1">
      <alignment horizontal="left" vertical="center" wrapText="1"/>
    </xf>
    <xf numFmtId="4" fontId="34" fillId="11" borderId="2" xfId="0" applyNumberFormat="1" applyFont="1" applyFill="1" applyBorder="1" applyAlignment="1">
      <alignment horizontal="left" vertical="center" wrapText="1"/>
    </xf>
    <xf numFmtId="4" fontId="33" fillId="2" borderId="2" xfId="0" applyNumberFormat="1" applyFont="1" applyFill="1" applyBorder="1" applyAlignment="1">
      <alignment horizontal="center"/>
    </xf>
    <xf numFmtId="0" fontId="1" fillId="0" borderId="2" xfId="0" applyFont="1" applyBorder="1"/>
    <xf numFmtId="4" fontId="14" fillId="0" borderId="0" xfId="0" applyNumberFormat="1" applyFont="1" applyAlignment="1">
      <alignment horizontal="right"/>
    </xf>
    <xf numFmtId="4" fontId="2" fillId="15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4" fontId="45" fillId="18" borderId="8" xfId="0" applyNumberFormat="1" applyFont="1" applyFill="1" applyBorder="1" applyAlignment="1">
      <alignment horizontal="center" vertical="center"/>
    </xf>
    <xf numFmtId="4" fontId="45" fillId="18" borderId="17" xfId="0" applyNumberFormat="1" applyFont="1" applyFill="1" applyBorder="1" applyAlignment="1">
      <alignment horizontal="center" vertical="center"/>
    </xf>
    <xf numFmtId="4" fontId="45" fillId="18" borderId="9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PROYECCIÓN DE CAPITAL VIVO POR AÑOS 2021-2031</a:t>
            </a:r>
          </a:p>
        </c:rich>
      </c:tx>
      <c:layout/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('2022-2031'!$BB$57,'2022-2031'!$BD$57,'2022-2031'!$BH$57,'2022-2031'!$BJ$57,'2022-2031'!$BL$57,'2022-2031'!$BN$57,'2022-2031'!$BP$57,'2022-2031'!$BR$57,'2022-2031'!$BT$57,'2022-2031'!$BV$57,'2022-2031'!$BX$57)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('2022-2031'!$BB$53,'2022-2031'!$BE$53,'2022-2031'!$BH$53,'2022-2031'!$BJ$53,'2022-2031'!$BL$53,'2022-2031'!$BN$53,'2022-2031'!$BP$53,'2022-2031'!$BR$53,'2022-2031'!$BT$53,'2022-2031'!$BV$53,'2022-2031'!$BX$53)</c:f>
              <c:numCache>
                <c:formatCode>#,##0.00</c:formatCode>
                <c:ptCount val="10"/>
                <c:pt idx="0">
                  <c:v>30016233.68</c:v>
                </c:pt>
                <c:pt idx="1">
                  <c:v>21016233.43</c:v>
                </c:pt>
                <c:pt idx="2">
                  <c:v>20612873.8675</c:v>
                </c:pt>
                <c:pt idx="3">
                  <c:v>17969676.193750001</c:v>
                </c:pt>
                <c:pt idx="4">
                  <c:v>15324773.561249999</c:v>
                </c:pt>
                <c:pt idx="5">
                  <c:v>12679870.928750001</c:v>
                </c:pt>
                <c:pt idx="6">
                  <c:v>10034968.296250001</c:v>
                </c:pt>
                <c:pt idx="7">
                  <c:v>7390065.6637500003</c:v>
                </c:pt>
                <c:pt idx="8">
                  <c:v>4745163.03125</c:v>
                </c:pt>
                <c:pt idx="9">
                  <c:v>2100260.3987500002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A-4BCF-9D53-DA0FF5785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503327"/>
        <c:axId val="325509567"/>
        <c:axId val="0"/>
      </c:bar3DChart>
      <c:catAx>
        <c:axId val="3255033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/>
                  <a:t>Años 2022-2031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509567"/>
        <c:crosses val="autoZero"/>
        <c:auto val="1"/>
        <c:lblAlgn val="ctr"/>
        <c:lblOffset val="100"/>
        <c:noMultiLvlLbl val="0"/>
      </c:catAx>
      <c:valAx>
        <c:axId val="32550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/>
                  <a:t>Importe en €</a:t>
                </a:r>
              </a:p>
              <a:p>
                <a:pPr>
                  <a:defRPr sz="800"/>
                </a:pPr>
                <a:endParaRPr lang="es-ES" sz="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5033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Capital</a:t>
            </a:r>
            <a:r>
              <a:rPr lang="es-ES" sz="1200" baseline="0"/>
              <a:t> amortizado 2021-2031 previsto cada año </a:t>
            </a:r>
            <a:endParaRPr lang="es-ES"/>
          </a:p>
        </c:rich>
      </c:tx>
      <c:layout>
        <c:manualLayout>
          <c:xMode val="edge"/>
          <c:yMode val="edge"/>
          <c:x val="0.32754186150931414"/>
          <c:y val="1.1695906432748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997393980574764"/>
          <c:y val="1.7632486950367159E-2"/>
          <c:w val="0.80918613523824989"/>
          <c:h val="0.85939208685870783"/>
        </c:manualLayout>
      </c:layout>
      <c:bar3DChart>
        <c:barDir val="col"/>
        <c:grouping val="standard"/>
        <c:varyColors val="0"/>
        <c:ser>
          <c:idx val="0"/>
          <c:order val="0"/>
          <c:tx>
            <c:v>Capital Amortizado</c:v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numRef>
              <c:f>('2022-2031'!$BB$57,'2022-2031'!$BD$57,'2022-2031'!$BH$57,'2022-2031'!$BJ$57,'2022-2031'!$BL$57,'2022-2031'!$BN$57,'2022-2031'!$BP$57,'2022-2031'!$BR$57,'2022-2031'!$BT$57,'2022-2031'!$BV$57,'2022-2031'!$BX$57)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('2022-2031'!$BC$53,'2022-2031'!$BF$53,'2022-2031'!$BI$53,'2022-2031'!$BK$53,'2022-2031'!$BM$53,'2022-2031'!$BO$53,'2022-2031'!$BQ$53,'2022-2031'!$BS$53,'2022-2031'!$BU$53,'2022-2031'!$BW$53,'2022-2031'!$BY$53)</c:f>
              <c:numCache>
                <c:formatCode>#,##0.00</c:formatCode>
                <c:ptCount val="10"/>
                <c:pt idx="0">
                  <c:v>0</c:v>
                </c:pt>
                <c:pt idx="1">
                  <c:v>403359.5625</c:v>
                </c:pt>
                <c:pt idx="2">
                  <c:v>2643197.6737500001</c:v>
                </c:pt>
                <c:pt idx="3">
                  <c:v>2644902.6324999998</c:v>
                </c:pt>
                <c:pt idx="4">
                  <c:v>2644902.6324999998</c:v>
                </c:pt>
                <c:pt idx="5">
                  <c:v>2644902.6324999998</c:v>
                </c:pt>
                <c:pt idx="6">
                  <c:v>2644902.6324999998</c:v>
                </c:pt>
                <c:pt idx="7">
                  <c:v>2644902.6324999998</c:v>
                </c:pt>
                <c:pt idx="8">
                  <c:v>2644902.6324999998</c:v>
                </c:pt>
                <c:pt idx="9">
                  <c:v>2100260.3987500002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6-45F1-A5BE-9286BD5D9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1730572671"/>
        <c:axId val="1724085647"/>
        <c:axId val="16551051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Año</c:v>
                </c:tx>
                <c:spPr>
                  <a:pattFill prst="ltDnDiag">
                    <a:fgClr>
                      <a:schemeClr val="accent4"/>
                    </a:fgClr>
                    <a:bgClr>
                      <a:schemeClr val="accent4">
                        <a:lumMod val="20000"/>
                        <a:lumOff val="80000"/>
                      </a:schemeClr>
                    </a:bgClr>
                  </a:pattFill>
                  <a:ln>
                    <a:solidFill>
                      <a:schemeClr val="accent4"/>
                    </a:solidFill>
                  </a:ln>
                  <a:effectLst/>
                  <a:sp3d>
                    <a:contourClr>
                      <a:schemeClr val="accent4"/>
                    </a:contourClr>
                  </a:sp3d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('2022-2031'!$BB$57,'2022-2031'!$BD$57,'2022-2031'!$BH$57,'2022-2031'!$BJ$57,'2022-2031'!$BL$57,'2022-2031'!$BN$57,'2022-2031'!$BP$57,'2022-2031'!$BR$57,'2022-2031'!$BT$57,'2022-2031'!$BV$57,'2022-2031'!$BX$57)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('2022-2031'!$BB$57,'2022-2031'!$BD$57,'2022-2031'!$BH$57,'2022-2031'!$BJ$57,'2022-2031'!$BL$57,'2022-2031'!$BN$57,'2022-2031'!$BP$57,'2022-2031'!$BR$57,'2022-2031'!$BT$57,'2022-2031'!$BV$57,'2022-2031'!$BX$57)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926-45F1-A5BE-9286BD5D905E}"/>
                  </c:ext>
                </c:extLst>
              </c15:ser>
            </c15:filteredBarSeries>
          </c:ext>
        </c:extLst>
      </c:bar3DChart>
      <c:dateAx>
        <c:axId val="17305726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4085647"/>
        <c:crosses val="autoZero"/>
        <c:auto val="0"/>
        <c:lblOffset val="100"/>
        <c:baseTimeUnit val="days"/>
      </c:dateAx>
      <c:valAx>
        <c:axId val="1724085647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0572671"/>
        <c:crosses val="autoZero"/>
        <c:crossBetween val="between"/>
      </c:valAx>
      <c:serAx>
        <c:axId val="1655105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4085647"/>
        <c:crosses val="autoZero"/>
      </c:ser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8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63500</xdr:rowOff>
    </xdr:from>
    <xdr:to>
      <xdr:col>14</xdr:col>
      <xdr:colOff>222250</xdr:colOff>
      <xdr:row>28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02081ED-337E-4419-A676-7110DB8EA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107950</xdr:rowOff>
    </xdr:from>
    <xdr:to>
      <xdr:col>12</xdr:col>
      <xdr:colOff>654050</xdr:colOff>
      <xdr:row>25</xdr:row>
      <xdr:rowOff>88900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C65DDE-9C56-437A-AC76-934AD64AE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SA176"/>
  <sheetViews>
    <sheetView tabSelected="1" topLeftCell="B1" zoomScale="120" zoomScaleNormal="120" workbookViewId="0">
      <selection activeCell="BF3" sqref="BF3"/>
    </sheetView>
  </sheetViews>
  <sheetFormatPr baseColWidth="10" defaultColWidth="9.140625" defaultRowHeight="9" x14ac:dyDescent="0.15"/>
  <cols>
    <col min="1" max="1" width="1.140625" style="3" hidden="1" customWidth="1"/>
    <col min="2" max="2" width="21" style="4" customWidth="1"/>
    <col min="3" max="3" width="12.5703125" style="11" customWidth="1"/>
    <col min="4" max="4" width="8.42578125" style="5" customWidth="1"/>
    <col min="5" max="5" width="7.140625" style="5" customWidth="1"/>
    <col min="6" max="6" width="13.42578125" style="3" hidden="1" customWidth="1"/>
    <col min="7" max="7" width="11.5703125" style="3" hidden="1" customWidth="1"/>
    <col min="8" max="8" width="11.42578125" style="3" hidden="1" customWidth="1"/>
    <col min="9" max="9" width="11" style="3" hidden="1" customWidth="1"/>
    <col min="10" max="10" width="11.140625" style="3" hidden="1" customWidth="1"/>
    <col min="11" max="11" width="10.85546875" style="3" hidden="1" customWidth="1"/>
    <col min="12" max="12" width="12.5703125" style="3" hidden="1" customWidth="1"/>
    <col min="13" max="13" width="11.5703125" style="3" hidden="1" customWidth="1"/>
    <col min="14" max="14" width="5.42578125" style="4" hidden="1" customWidth="1"/>
    <col min="15" max="15" width="11.42578125" style="3" hidden="1" customWidth="1"/>
    <col min="16" max="16" width="8.85546875" style="3" hidden="1" customWidth="1"/>
    <col min="17" max="17" width="14.42578125" style="1" hidden="1" customWidth="1"/>
    <col min="18" max="18" width="7.140625" style="1" hidden="1" customWidth="1"/>
    <col min="19" max="19" width="7.5703125" style="1" hidden="1" customWidth="1"/>
    <col min="20" max="20" width="7.42578125" style="1" hidden="1" customWidth="1"/>
    <col min="21" max="21" width="7.85546875" style="1" hidden="1" customWidth="1"/>
    <col min="22" max="22" width="7.5703125" style="1" hidden="1" customWidth="1"/>
    <col min="23" max="23" width="5.42578125" style="1" hidden="1" customWidth="1"/>
    <col min="24" max="24" width="7.5703125" style="1" hidden="1" customWidth="1"/>
    <col min="25" max="25" width="8.140625" style="1" hidden="1" customWidth="1"/>
    <col min="26" max="27" width="7.5703125" style="1" hidden="1" customWidth="1"/>
    <col min="28" max="28" width="8" style="1" hidden="1" customWidth="1"/>
    <col min="29" max="29" width="7" style="1" hidden="1" customWidth="1"/>
    <col min="30" max="30" width="7.85546875" style="1" hidden="1" customWidth="1"/>
    <col min="31" max="31" width="6.5703125" style="1" hidden="1" customWidth="1"/>
    <col min="32" max="32" width="7.5703125" style="1" hidden="1" customWidth="1"/>
    <col min="33" max="33" width="7.42578125" style="1" hidden="1" customWidth="1"/>
    <col min="34" max="35" width="6.85546875" style="1" hidden="1" customWidth="1"/>
    <col min="36" max="36" width="7.140625" style="1" hidden="1" customWidth="1"/>
    <col min="37" max="38" width="7.42578125" style="1" hidden="1" customWidth="1"/>
    <col min="39" max="39" width="7" style="1" hidden="1" customWidth="1"/>
    <col min="40" max="41" width="6.5703125" style="1" hidden="1" customWidth="1"/>
    <col min="42" max="42" width="7.140625" style="1" hidden="1" customWidth="1"/>
    <col min="43" max="43" width="7.42578125" style="1" hidden="1" customWidth="1"/>
    <col min="44" max="44" width="6.5703125" style="1" hidden="1" customWidth="1"/>
    <col min="45" max="45" width="7.42578125" style="1" hidden="1" customWidth="1"/>
    <col min="46" max="46" width="7.85546875" style="1" hidden="1" customWidth="1"/>
    <col min="47" max="50" width="6.5703125" style="1" hidden="1" customWidth="1"/>
    <col min="51" max="52" width="6.42578125" style="1" hidden="1" customWidth="1"/>
    <col min="53" max="53" width="1" style="1" hidden="1" customWidth="1"/>
    <col min="54" max="55" width="8" style="1" hidden="1" customWidth="1"/>
    <col min="56" max="56" width="8.140625" style="1" customWidth="1"/>
    <col min="57" max="57" width="13.140625" style="1" customWidth="1"/>
    <col min="58" max="58" width="9.28515625" style="1" customWidth="1"/>
    <col min="59" max="59" width="11.5703125" style="1" customWidth="1"/>
    <col min="60" max="60" width="10.42578125" style="1" customWidth="1"/>
    <col min="61" max="61" width="10.28515625" style="1" customWidth="1"/>
    <col min="62" max="62" width="11.42578125" style="1" customWidth="1"/>
    <col min="63" max="63" width="12.42578125" style="1" customWidth="1"/>
    <col min="64" max="64" width="10.5703125" style="1" customWidth="1"/>
    <col min="65" max="65" width="10.7109375" style="1" customWidth="1"/>
    <col min="66" max="66" width="10.85546875" style="1" customWidth="1"/>
    <col min="67" max="67" width="11.140625" style="1" customWidth="1"/>
    <col min="68" max="68" width="10.85546875" style="1" customWidth="1"/>
    <col min="69" max="69" width="11.140625" style="1" customWidth="1"/>
    <col min="70" max="70" width="10.42578125" style="1" customWidth="1"/>
    <col min="71" max="71" width="10.85546875" style="1" customWidth="1"/>
    <col min="72" max="72" width="10.5703125" style="1" customWidth="1"/>
    <col min="73" max="73" width="10.85546875" style="1" customWidth="1"/>
    <col min="74" max="74" width="10.42578125" style="1" customWidth="1"/>
    <col min="75" max="75" width="10.7109375" style="1" customWidth="1"/>
    <col min="76" max="76" width="10" style="1" customWidth="1"/>
    <col min="77" max="77" width="10.28515625" style="1" customWidth="1"/>
    <col min="78" max="16384" width="9.140625" style="3"/>
  </cols>
  <sheetData>
    <row r="1" spans="1:81" ht="15.75" thickBot="1" x14ac:dyDescent="0.3">
      <c r="A1" s="233"/>
      <c r="B1" s="40" t="s">
        <v>133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2"/>
    </row>
    <row r="2" spans="1:81" ht="12" thickBot="1" x14ac:dyDescent="0.25">
      <c r="A2" s="233"/>
      <c r="M2" s="247" t="s">
        <v>8</v>
      </c>
      <c r="N2" s="247"/>
      <c r="O2" s="247" t="s">
        <v>9</v>
      </c>
      <c r="P2" s="247"/>
      <c r="R2" s="41"/>
      <c r="S2" s="42">
        <v>2013</v>
      </c>
      <c r="T2" s="43"/>
      <c r="U2" s="42">
        <v>2014</v>
      </c>
      <c r="V2" s="43"/>
      <c r="W2" s="42">
        <v>2015</v>
      </c>
      <c r="X2" s="43"/>
      <c r="Y2" s="42">
        <v>2016</v>
      </c>
      <c r="Z2" s="43"/>
      <c r="AA2" s="42">
        <v>2017</v>
      </c>
      <c r="AB2" s="43"/>
      <c r="AC2" s="42">
        <v>2018</v>
      </c>
      <c r="AD2" s="248">
        <v>2019</v>
      </c>
      <c r="AE2" s="255"/>
      <c r="AF2" s="249"/>
      <c r="AG2" s="248">
        <v>2020</v>
      </c>
      <c r="AH2" s="255"/>
      <c r="AI2" s="249"/>
      <c r="AJ2" s="248">
        <v>2021</v>
      </c>
      <c r="AK2" s="249"/>
      <c r="AL2" s="248">
        <v>2022</v>
      </c>
      <c r="AM2" s="249"/>
      <c r="AN2" s="248">
        <v>2023</v>
      </c>
      <c r="AO2" s="249"/>
      <c r="AP2" s="248">
        <v>2024</v>
      </c>
      <c r="AQ2" s="249"/>
      <c r="AR2" s="248">
        <v>2025</v>
      </c>
      <c r="AS2" s="249"/>
      <c r="AT2" s="248">
        <v>2026</v>
      </c>
      <c r="AU2" s="249"/>
      <c r="AV2" s="248">
        <v>2027</v>
      </c>
      <c r="AW2" s="249"/>
      <c r="AX2" s="248">
        <v>2028</v>
      </c>
      <c r="AY2" s="249"/>
      <c r="AZ2" s="259">
        <v>2029</v>
      </c>
      <c r="BA2" s="260"/>
      <c r="BB2" s="248">
        <v>2021</v>
      </c>
      <c r="BC2" s="249"/>
      <c r="BD2" s="273">
        <v>2022</v>
      </c>
      <c r="BE2" s="274"/>
      <c r="BF2" s="274"/>
      <c r="BG2" s="277"/>
      <c r="BH2" s="275">
        <v>2023</v>
      </c>
      <c r="BI2" s="276"/>
      <c r="BJ2" s="252">
        <v>2024</v>
      </c>
      <c r="BK2" s="253"/>
      <c r="BL2" s="252">
        <v>2025</v>
      </c>
      <c r="BM2" s="253"/>
      <c r="BN2" s="252">
        <v>2026</v>
      </c>
      <c r="BO2" s="253"/>
      <c r="BP2" s="252">
        <v>2027</v>
      </c>
      <c r="BQ2" s="256"/>
      <c r="BR2" s="245">
        <v>2028</v>
      </c>
      <c r="BS2" s="245"/>
      <c r="BT2" s="245">
        <v>2029</v>
      </c>
      <c r="BU2" s="245"/>
      <c r="BV2" s="245">
        <v>2030</v>
      </c>
      <c r="BW2" s="245"/>
      <c r="BX2" s="245">
        <v>2031</v>
      </c>
      <c r="BY2" s="245"/>
    </row>
    <row r="3" spans="1:81" s="23" customFormat="1" ht="33.75" customHeight="1" x14ac:dyDescent="0.15">
      <c r="A3" s="44"/>
      <c r="B3" s="45" t="s">
        <v>42</v>
      </c>
      <c r="C3" s="38" t="s">
        <v>37</v>
      </c>
      <c r="D3" s="46" t="s">
        <v>1</v>
      </c>
      <c r="E3" s="46" t="s">
        <v>2</v>
      </c>
      <c r="F3" s="39" t="s">
        <v>28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3</v>
      </c>
      <c r="M3" s="38" t="s">
        <v>4</v>
      </c>
      <c r="N3" s="39" t="s">
        <v>5</v>
      </c>
      <c r="O3" s="38" t="s">
        <v>6</v>
      </c>
      <c r="P3" s="39" t="s">
        <v>5</v>
      </c>
      <c r="Q3" s="39" t="s">
        <v>7</v>
      </c>
      <c r="R3" s="39" t="s">
        <v>49</v>
      </c>
      <c r="S3" s="45" t="s">
        <v>26</v>
      </c>
      <c r="T3" s="39" t="s">
        <v>50</v>
      </c>
      <c r="U3" s="45" t="s">
        <v>27</v>
      </c>
      <c r="V3" s="39" t="s">
        <v>51</v>
      </c>
      <c r="W3" s="45" t="s">
        <v>30</v>
      </c>
      <c r="X3" s="39" t="s">
        <v>52</v>
      </c>
      <c r="Y3" s="45" t="s">
        <v>31</v>
      </c>
      <c r="Z3" s="39" t="s">
        <v>53</v>
      </c>
      <c r="AA3" s="45" t="s">
        <v>41</v>
      </c>
      <c r="AB3" s="39" t="s">
        <v>85</v>
      </c>
      <c r="AC3" s="45" t="s">
        <v>44</v>
      </c>
      <c r="AD3" s="39" t="s">
        <v>54</v>
      </c>
      <c r="AE3" s="39" t="s">
        <v>106</v>
      </c>
      <c r="AF3" s="45" t="s">
        <v>57</v>
      </c>
      <c r="AG3" s="39" t="s">
        <v>58</v>
      </c>
      <c r="AH3" s="39" t="s">
        <v>111</v>
      </c>
      <c r="AI3" s="45" t="s">
        <v>75</v>
      </c>
      <c r="AJ3" s="39" t="s">
        <v>73</v>
      </c>
      <c r="AK3" s="45" t="s">
        <v>76</v>
      </c>
      <c r="AL3" s="39" t="s">
        <v>74</v>
      </c>
      <c r="AM3" s="45" t="s">
        <v>86</v>
      </c>
      <c r="AN3" s="39" t="s">
        <v>87</v>
      </c>
      <c r="AO3" s="45" t="s">
        <v>88</v>
      </c>
      <c r="AP3" s="39" t="s">
        <v>89</v>
      </c>
      <c r="AQ3" s="45" t="s">
        <v>90</v>
      </c>
      <c r="AR3" s="39" t="s">
        <v>91</v>
      </c>
      <c r="AS3" s="45" t="s">
        <v>92</v>
      </c>
      <c r="AT3" s="39" t="s">
        <v>93</v>
      </c>
      <c r="AU3" s="45" t="s">
        <v>94</v>
      </c>
      <c r="AV3" s="39" t="s">
        <v>95</v>
      </c>
      <c r="AW3" s="45" t="s">
        <v>96</v>
      </c>
      <c r="AX3" s="39" t="s">
        <v>97</v>
      </c>
      <c r="AY3" s="45" t="s">
        <v>98</v>
      </c>
      <c r="AZ3" s="45" t="s">
        <v>100</v>
      </c>
      <c r="BA3" s="45" t="s">
        <v>101</v>
      </c>
      <c r="BB3" s="39" t="s">
        <v>73</v>
      </c>
      <c r="BC3" s="45" t="s">
        <v>76</v>
      </c>
      <c r="BD3" s="271" t="s">
        <v>74</v>
      </c>
      <c r="BE3" s="271" t="s">
        <v>115</v>
      </c>
      <c r="BF3" s="272" t="s">
        <v>163</v>
      </c>
      <c r="BG3" s="272" t="s">
        <v>162</v>
      </c>
      <c r="BH3" s="39" t="s">
        <v>87</v>
      </c>
      <c r="BI3" s="45" t="s">
        <v>88</v>
      </c>
      <c r="BJ3" s="39" t="s">
        <v>89</v>
      </c>
      <c r="BK3" s="45" t="s">
        <v>90</v>
      </c>
      <c r="BL3" s="39" t="s">
        <v>91</v>
      </c>
      <c r="BM3" s="45" t="s">
        <v>92</v>
      </c>
      <c r="BN3" s="39" t="s">
        <v>93</v>
      </c>
      <c r="BO3" s="45" t="s">
        <v>94</v>
      </c>
      <c r="BP3" s="39" t="s">
        <v>95</v>
      </c>
      <c r="BQ3" s="113" t="s">
        <v>96</v>
      </c>
      <c r="BR3" s="39" t="s">
        <v>97</v>
      </c>
      <c r="BS3" s="45" t="s">
        <v>98</v>
      </c>
      <c r="BT3" s="39" t="s">
        <v>100</v>
      </c>
      <c r="BU3" s="45" t="s">
        <v>101</v>
      </c>
      <c r="BV3" s="39" t="s">
        <v>156</v>
      </c>
      <c r="BW3" s="45" t="s">
        <v>157</v>
      </c>
      <c r="BX3" s="39" t="s">
        <v>158</v>
      </c>
      <c r="BY3" s="45" t="s">
        <v>159</v>
      </c>
    </row>
    <row r="4" spans="1:81" ht="13.35" customHeight="1" x14ac:dyDescent="0.2">
      <c r="A4" s="258" t="s">
        <v>33</v>
      </c>
      <c r="B4" s="258"/>
      <c r="C4" s="47"/>
      <c r="D4" s="48"/>
      <c r="E4" s="48"/>
      <c r="F4" s="49"/>
      <c r="G4" s="49"/>
      <c r="H4" s="49"/>
      <c r="I4" s="49"/>
      <c r="J4" s="49"/>
      <c r="K4" s="49"/>
      <c r="L4" s="49"/>
      <c r="M4" s="50"/>
      <c r="N4" s="49"/>
      <c r="O4" s="51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52"/>
      <c r="BC4" s="52"/>
      <c r="BD4" s="52"/>
      <c r="BE4" s="52"/>
      <c r="BF4" s="52"/>
      <c r="BG4" s="52"/>
      <c r="BH4" s="52"/>
      <c r="BI4" s="52"/>
      <c r="BJ4" s="49"/>
      <c r="BK4" s="49"/>
      <c r="BL4" s="49"/>
      <c r="BM4" s="49"/>
      <c r="BN4" s="49"/>
      <c r="BO4" s="49"/>
      <c r="BP4" s="49"/>
      <c r="BQ4" s="114"/>
      <c r="BR4" s="49"/>
      <c r="BS4" s="49"/>
      <c r="BT4" s="49"/>
      <c r="BU4" s="49"/>
      <c r="BV4" s="49"/>
      <c r="BW4" s="49"/>
      <c r="BX4" s="49"/>
      <c r="BY4" s="49"/>
    </row>
    <row r="5" spans="1:81" ht="10.5" customHeight="1" x14ac:dyDescent="0.15">
      <c r="A5" s="58"/>
      <c r="B5" s="151" t="s">
        <v>43</v>
      </c>
      <c r="C5" s="152">
        <v>30538028.109999999</v>
      </c>
      <c r="D5" s="80">
        <v>36068</v>
      </c>
      <c r="E5" s="80">
        <v>41547</v>
      </c>
      <c r="F5" s="96">
        <v>9543133.75</v>
      </c>
      <c r="G5" s="96">
        <v>2544835.6800000002</v>
      </c>
      <c r="H5" s="96">
        <f>F5-G5</f>
        <v>6998298.0700000003</v>
      </c>
      <c r="I5" s="96">
        <v>2544835.6800000002</v>
      </c>
      <c r="J5" s="96">
        <f>H5-I5</f>
        <v>4453462.3900000006</v>
      </c>
      <c r="K5" s="96">
        <v>2544835.6800000002</v>
      </c>
      <c r="L5" s="96">
        <v>0</v>
      </c>
      <c r="M5" s="97">
        <v>170044.50547819445</v>
      </c>
      <c r="N5" s="153" t="s">
        <v>18</v>
      </c>
      <c r="O5" s="99">
        <v>636208.92000000004</v>
      </c>
      <c r="P5" s="79" t="s">
        <v>10</v>
      </c>
      <c r="Q5" s="108" t="s">
        <v>11</v>
      </c>
      <c r="R5" s="154">
        <f>J5-K5</f>
        <v>1908626.7100000004</v>
      </c>
      <c r="S5" s="155">
        <v>1908626.71</v>
      </c>
      <c r="T5" s="154">
        <v>0</v>
      </c>
      <c r="U5" s="96"/>
      <c r="V5" s="154"/>
      <c r="W5" s="96"/>
      <c r="X5" s="154"/>
      <c r="Y5" s="96"/>
      <c r="Z5" s="154"/>
      <c r="AA5" s="96"/>
      <c r="AB5" s="57"/>
      <c r="AC5" s="96"/>
      <c r="AD5" s="57"/>
      <c r="AE5" s="57"/>
      <c r="AF5" s="96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117"/>
      <c r="BR5" s="57"/>
      <c r="BS5" s="57"/>
      <c r="BT5" s="57"/>
      <c r="BU5" s="57"/>
      <c r="BV5" s="57"/>
      <c r="BW5" s="57"/>
      <c r="BX5" s="57"/>
      <c r="BY5" s="57"/>
    </row>
    <row r="6" spans="1:81" ht="10.5" customHeight="1" x14ac:dyDescent="0.15">
      <c r="A6" s="58"/>
      <c r="B6" s="151" t="s">
        <v>45</v>
      </c>
      <c r="C6" s="152">
        <v>11530968.73</v>
      </c>
      <c r="D6" s="80">
        <v>38887</v>
      </c>
      <c r="E6" s="80">
        <v>42540</v>
      </c>
      <c r="F6" s="96">
        <v>10089597.640000001</v>
      </c>
      <c r="G6" s="96">
        <v>1441371.09</v>
      </c>
      <c r="H6" s="96">
        <f>F6-G6</f>
        <v>8648226.5500000007</v>
      </c>
      <c r="I6" s="96">
        <v>1441371.09</v>
      </c>
      <c r="J6" s="96">
        <f>H6-I6</f>
        <v>7206855.4600000009</v>
      </c>
      <c r="K6" s="96">
        <v>1441371.09</v>
      </c>
      <c r="L6" s="96">
        <v>0</v>
      </c>
      <c r="M6" s="97">
        <v>1609261.9947296001</v>
      </c>
      <c r="N6" s="98">
        <v>39252</v>
      </c>
      <c r="O6" s="99"/>
      <c r="P6" s="79"/>
      <c r="Q6" s="108" t="s">
        <v>12</v>
      </c>
      <c r="R6" s="154">
        <f>J6-K6</f>
        <v>5765484.370000001</v>
      </c>
      <c r="S6" s="96">
        <v>1441371.09</v>
      </c>
      <c r="T6" s="154">
        <f>R6-S6</f>
        <v>4324113.2800000012</v>
      </c>
      <c r="U6" s="96">
        <v>1441371.09</v>
      </c>
      <c r="V6" s="154">
        <f>T6-U6</f>
        <v>2882742.1900000013</v>
      </c>
      <c r="W6" s="156">
        <v>0</v>
      </c>
      <c r="X6" s="154">
        <f>V6-W6</f>
        <v>2882742.1900000013</v>
      </c>
      <c r="Y6" s="157">
        <v>2882742.1900000013</v>
      </c>
      <c r="Z6" s="158"/>
      <c r="AA6" s="158"/>
      <c r="AB6" s="251" t="s">
        <v>117</v>
      </c>
      <c r="AC6" s="251"/>
      <c r="AD6" s="251"/>
      <c r="AE6" s="251"/>
      <c r="AF6" s="158"/>
      <c r="AG6" s="158"/>
      <c r="AH6" s="158"/>
      <c r="AI6" s="158"/>
      <c r="AJ6" s="158"/>
      <c r="AK6" s="158"/>
      <c r="AL6" s="158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60"/>
      <c r="BR6" s="159"/>
      <c r="BS6" s="159"/>
      <c r="BT6" s="159"/>
      <c r="BU6" s="159"/>
      <c r="BV6" s="159"/>
      <c r="BW6" s="159"/>
      <c r="BX6" s="159"/>
      <c r="BY6" s="159"/>
    </row>
    <row r="7" spans="1:81" ht="5.25" customHeight="1" x14ac:dyDescent="0.15">
      <c r="A7" s="58"/>
      <c r="B7" s="151"/>
      <c r="C7" s="152"/>
      <c r="D7" s="80"/>
      <c r="E7" s="80"/>
      <c r="F7" s="96"/>
      <c r="G7" s="96"/>
      <c r="H7" s="96"/>
      <c r="I7" s="96"/>
      <c r="J7" s="96"/>
      <c r="K7" s="96"/>
      <c r="L7" s="96"/>
      <c r="M7" s="97"/>
      <c r="N7" s="98"/>
      <c r="O7" s="99"/>
      <c r="P7" s="79"/>
      <c r="Q7" s="108"/>
      <c r="R7" s="154"/>
      <c r="S7" s="96"/>
      <c r="T7" s="154"/>
      <c r="U7" s="96"/>
      <c r="V7" s="154"/>
      <c r="W7" s="156"/>
      <c r="X7" s="154"/>
      <c r="Y7" s="161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60"/>
      <c r="BR7" s="159"/>
      <c r="BS7" s="159"/>
      <c r="BT7" s="159"/>
      <c r="BU7" s="159"/>
      <c r="BV7" s="159"/>
      <c r="BW7" s="159"/>
      <c r="BX7" s="159"/>
      <c r="BY7" s="159"/>
    </row>
    <row r="8" spans="1:81" ht="11.25" customHeight="1" x14ac:dyDescent="0.15">
      <c r="A8" s="257" t="s">
        <v>34</v>
      </c>
      <c r="B8" s="257"/>
      <c r="C8" s="162"/>
      <c r="D8" s="56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49"/>
      <c r="V8" s="57"/>
      <c r="W8" s="49"/>
      <c r="X8" s="57"/>
      <c r="Y8" s="49"/>
      <c r="Z8" s="57"/>
      <c r="AA8" s="49"/>
      <c r="AB8" s="57"/>
      <c r="AC8" s="49"/>
      <c r="AD8" s="57"/>
      <c r="AE8" s="57"/>
      <c r="AF8" s="49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117"/>
      <c r="BR8" s="57"/>
      <c r="BS8" s="57"/>
      <c r="BT8" s="57"/>
      <c r="BU8" s="57"/>
      <c r="BV8" s="57"/>
      <c r="BW8" s="57"/>
      <c r="BX8" s="57"/>
      <c r="BY8" s="57"/>
    </row>
    <row r="9" spans="1:81" ht="9" customHeight="1" x14ac:dyDescent="0.15">
      <c r="A9" s="58"/>
      <c r="B9" s="151" t="s">
        <v>46</v>
      </c>
      <c r="C9" s="152">
        <v>6000000</v>
      </c>
      <c r="D9" s="80">
        <v>38490</v>
      </c>
      <c r="E9" s="80">
        <v>42142</v>
      </c>
      <c r="F9" s="96">
        <v>4500000</v>
      </c>
      <c r="G9" s="96">
        <v>750000</v>
      </c>
      <c r="H9" s="96">
        <f>F9-G9</f>
        <v>3750000</v>
      </c>
      <c r="I9" s="96">
        <v>750000</v>
      </c>
      <c r="J9" s="96">
        <f>H9-I9</f>
        <v>3000000</v>
      </c>
      <c r="K9" s="96">
        <v>750000</v>
      </c>
      <c r="L9" s="96">
        <v>0</v>
      </c>
      <c r="M9" s="97">
        <v>824700</v>
      </c>
      <c r="N9" s="98">
        <v>39220</v>
      </c>
      <c r="O9" s="99"/>
      <c r="P9" s="79"/>
      <c r="Q9" s="108" t="s">
        <v>16</v>
      </c>
      <c r="R9" s="154">
        <f>J9-K9</f>
        <v>2250000</v>
      </c>
      <c r="S9" s="96">
        <v>750000</v>
      </c>
      <c r="T9" s="154">
        <f>R9-S9</f>
        <v>1500000</v>
      </c>
      <c r="U9" s="96">
        <v>750000</v>
      </c>
      <c r="V9" s="154" t="e">
        <f>T9-U9-#REF!</f>
        <v>#REF!</v>
      </c>
      <c r="W9" s="155">
        <v>120019.68</v>
      </c>
      <c r="X9" s="154">
        <v>0</v>
      </c>
      <c r="Y9" s="96"/>
      <c r="Z9" s="154"/>
      <c r="AA9" s="96"/>
      <c r="AB9" s="57"/>
      <c r="AC9" s="96"/>
      <c r="AD9" s="57"/>
      <c r="AE9" s="57"/>
      <c r="AF9" s="96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117"/>
      <c r="BR9" s="57"/>
      <c r="BS9" s="57"/>
      <c r="BT9" s="57"/>
      <c r="BU9" s="57"/>
      <c r="BV9" s="57"/>
      <c r="BW9" s="57"/>
      <c r="BX9" s="57"/>
      <c r="BY9" s="57"/>
    </row>
    <row r="10" spans="1:81" ht="12" customHeight="1" x14ac:dyDescent="0.15">
      <c r="A10" s="58"/>
      <c r="B10" s="58" t="s">
        <v>47</v>
      </c>
      <c r="C10" s="152">
        <v>3320314.81</v>
      </c>
      <c r="D10" s="80">
        <v>39597</v>
      </c>
      <c r="E10" s="80">
        <v>41788</v>
      </c>
      <c r="F10" s="163">
        <v>3320314.81</v>
      </c>
      <c r="G10" s="163">
        <v>415039.36</v>
      </c>
      <c r="H10" s="96">
        <f>F10-G10</f>
        <v>2905275.45</v>
      </c>
      <c r="I10" s="163">
        <v>830078.72</v>
      </c>
      <c r="J10" s="96" t="e">
        <f>H10-I10-#REF!</f>
        <v>#REF!</v>
      </c>
      <c r="K10" s="96">
        <v>830078.72</v>
      </c>
      <c r="L10" s="96">
        <v>0</v>
      </c>
      <c r="M10" s="97">
        <v>60462.932690100002</v>
      </c>
      <c r="N10" s="98">
        <v>39962</v>
      </c>
      <c r="O10" s="99">
        <v>222635.413172525</v>
      </c>
      <c r="P10" s="153" t="s">
        <v>19</v>
      </c>
      <c r="Q10" s="108" t="s">
        <v>17</v>
      </c>
      <c r="R10" s="154">
        <v>513632.93</v>
      </c>
      <c r="S10" s="155">
        <v>513632.93</v>
      </c>
      <c r="T10" s="154">
        <v>0</v>
      </c>
      <c r="U10" s="58"/>
      <c r="V10" s="154"/>
      <c r="W10" s="163"/>
      <c r="X10" s="154"/>
      <c r="Y10" s="163"/>
      <c r="Z10" s="154"/>
      <c r="AA10" s="163"/>
      <c r="AB10" s="57"/>
      <c r="AC10" s="163"/>
      <c r="AD10" s="57"/>
      <c r="AE10" s="57"/>
      <c r="AF10" s="163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117"/>
      <c r="BR10" s="57"/>
      <c r="BS10" s="57"/>
      <c r="BT10" s="57"/>
      <c r="BU10" s="57"/>
      <c r="BV10" s="57"/>
      <c r="BW10" s="57"/>
      <c r="BX10" s="57"/>
      <c r="BY10" s="57"/>
    </row>
    <row r="11" spans="1:81" ht="11.25" customHeight="1" x14ac:dyDescent="0.15">
      <c r="A11" s="58"/>
      <c r="B11" s="151" t="s">
        <v>48</v>
      </c>
      <c r="C11" s="152">
        <v>8283298.1799999997</v>
      </c>
      <c r="D11" s="80">
        <v>40367</v>
      </c>
      <c r="E11" s="80">
        <v>43289</v>
      </c>
      <c r="F11" s="163">
        <v>8283298.1799999997</v>
      </c>
      <c r="G11" s="163">
        <v>0</v>
      </c>
      <c r="H11" s="96">
        <f>F11-G11</f>
        <v>8283298.1799999997</v>
      </c>
      <c r="I11" s="163">
        <v>0</v>
      </c>
      <c r="J11" s="96">
        <f>H11-I11</f>
        <v>8283298.1799999997</v>
      </c>
      <c r="K11" s="96">
        <v>258853.07</v>
      </c>
      <c r="L11" s="96"/>
      <c r="M11" s="97"/>
      <c r="N11" s="98"/>
      <c r="O11" s="99"/>
      <c r="P11" s="153"/>
      <c r="Q11" s="108"/>
      <c r="R11" s="154">
        <f>J11-K11</f>
        <v>8024445.1099999994</v>
      </c>
      <c r="S11" s="96">
        <v>1035412.2725</v>
      </c>
      <c r="T11" s="154">
        <f>R11-S11</f>
        <v>6989032.8374999994</v>
      </c>
      <c r="U11" s="96">
        <v>1035412.2725</v>
      </c>
      <c r="V11" s="154">
        <f>T11-U11</f>
        <v>5953620.5649999995</v>
      </c>
      <c r="W11" s="96">
        <v>1035412.27</v>
      </c>
      <c r="X11" s="154">
        <f>4389453.95</f>
        <v>4389453.95</v>
      </c>
      <c r="Y11" s="164">
        <v>517706.14</v>
      </c>
      <c r="Z11" s="254" t="s">
        <v>64</v>
      </c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60"/>
      <c r="BR11" s="159"/>
      <c r="BS11" s="159"/>
      <c r="BT11" s="159"/>
      <c r="BU11" s="159"/>
      <c r="BV11" s="159"/>
      <c r="BW11" s="159"/>
      <c r="BX11" s="159"/>
      <c r="BY11" s="159"/>
    </row>
    <row r="12" spans="1:81" s="15" customFormat="1" ht="9.75" customHeight="1" x14ac:dyDescent="0.15">
      <c r="A12" s="59"/>
      <c r="B12" s="165"/>
      <c r="C12" s="162"/>
      <c r="D12" s="56"/>
      <c r="E12" s="56"/>
      <c r="F12" s="166"/>
      <c r="G12" s="166"/>
      <c r="H12" s="57"/>
      <c r="I12" s="166"/>
      <c r="J12" s="57"/>
      <c r="K12" s="57"/>
      <c r="L12" s="57"/>
      <c r="M12" s="167"/>
      <c r="N12" s="168"/>
      <c r="O12" s="82"/>
      <c r="P12" s="169"/>
      <c r="Q12" s="170"/>
      <c r="R12" s="57"/>
      <c r="S12" s="57"/>
      <c r="T12" s="57"/>
      <c r="U12" s="57"/>
      <c r="V12" s="57"/>
      <c r="W12" s="57"/>
      <c r="X12" s="57"/>
      <c r="Y12" s="157">
        <v>3871747.81</v>
      </c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60"/>
      <c r="BR12" s="159"/>
      <c r="BS12" s="159"/>
      <c r="BT12" s="159"/>
      <c r="BU12" s="159"/>
      <c r="BV12" s="159"/>
      <c r="BW12" s="159"/>
      <c r="BX12" s="159"/>
      <c r="BY12" s="159"/>
      <c r="CC12" s="15" t="s">
        <v>55</v>
      </c>
    </row>
    <row r="13" spans="1:81" ht="11.25" customHeight="1" x14ac:dyDescent="0.15">
      <c r="A13" s="58"/>
      <c r="B13" s="151" t="s">
        <v>150</v>
      </c>
      <c r="C13" s="152" t="s">
        <v>56</v>
      </c>
      <c r="D13" s="80">
        <v>42541</v>
      </c>
      <c r="E13" s="80">
        <v>44561</v>
      </c>
      <c r="F13" s="163">
        <v>8283298.1799999997</v>
      </c>
      <c r="G13" s="163">
        <v>0</v>
      </c>
      <c r="H13" s="96">
        <f>F13-G13</f>
        <v>8283298.1799999997</v>
      </c>
      <c r="I13" s="163">
        <v>0</v>
      </c>
      <c r="J13" s="96">
        <f>H13-I13</f>
        <v>8283298.1799999997</v>
      </c>
      <c r="K13" s="96">
        <v>258853.07</v>
      </c>
      <c r="L13" s="96"/>
      <c r="M13" s="97"/>
      <c r="N13" s="98"/>
      <c r="O13" s="99"/>
      <c r="P13" s="153"/>
      <c r="Q13" s="108"/>
      <c r="R13" s="154">
        <f>J13-K13</f>
        <v>8024445.1099999994</v>
      </c>
      <c r="S13" s="96">
        <v>1035412.2725</v>
      </c>
      <c r="T13" s="154">
        <f>R13-S13</f>
        <v>6989032.8374999994</v>
      </c>
      <c r="U13" s="96">
        <v>1035412.2725</v>
      </c>
      <c r="V13" s="154">
        <f>T13-U13</f>
        <v>5953620.5649999995</v>
      </c>
      <c r="W13" s="96">
        <v>1035412.27</v>
      </c>
      <c r="X13" s="171" t="s">
        <v>56</v>
      </c>
      <c r="Y13" s="96">
        <v>589606.43999999994</v>
      </c>
      <c r="Z13" s="154">
        <f>X13-Y13-Y15</f>
        <v>5836467.9500000002</v>
      </c>
      <c r="AA13" s="172">
        <v>985041.2</v>
      </c>
      <c r="AB13" s="154">
        <f>Z13-AA13-AA15</f>
        <v>1589761.17</v>
      </c>
      <c r="AC13" s="172">
        <v>402526.16</v>
      </c>
      <c r="AD13" s="154">
        <f>AB13-AC13</f>
        <v>1187235.01</v>
      </c>
      <c r="AE13" s="57"/>
      <c r="AF13" s="164">
        <v>1187235.01</v>
      </c>
      <c r="AG13" s="173" t="s">
        <v>103</v>
      </c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74"/>
      <c r="BR13" s="158"/>
      <c r="BS13" s="158"/>
      <c r="BT13" s="158"/>
      <c r="BU13" s="158"/>
      <c r="BV13" s="158"/>
      <c r="BW13" s="158"/>
      <c r="BX13" s="158"/>
      <c r="BY13" s="158"/>
    </row>
    <row r="14" spans="1:81" s="20" customFormat="1" ht="12.75" customHeight="1" x14ac:dyDescent="0.15">
      <c r="A14" s="69" t="s">
        <v>78</v>
      </c>
      <c r="B14" s="151" t="s">
        <v>151</v>
      </c>
      <c r="C14" s="152">
        <v>396215.73</v>
      </c>
      <c r="D14" s="80">
        <v>43402</v>
      </c>
      <c r="E14" s="80">
        <v>44498</v>
      </c>
      <c r="F14" s="163"/>
      <c r="G14" s="96"/>
      <c r="H14" s="163"/>
      <c r="I14" s="96"/>
      <c r="J14" s="96"/>
      <c r="K14" s="96"/>
      <c r="L14" s="97"/>
      <c r="M14" s="98"/>
      <c r="N14" s="99"/>
      <c r="O14" s="153"/>
      <c r="P14" s="108"/>
      <c r="Q14" s="154"/>
      <c r="R14" s="96"/>
      <c r="S14" s="154"/>
      <c r="T14" s="96"/>
      <c r="U14" s="154"/>
      <c r="V14" s="96"/>
      <c r="W14" s="171"/>
      <c r="X14" s="70"/>
      <c r="Y14" s="96"/>
      <c r="Z14" s="171"/>
      <c r="AA14" s="96"/>
      <c r="AB14" s="171">
        <v>396215.73</v>
      </c>
      <c r="AC14" s="172">
        <v>0</v>
      </c>
      <c r="AD14" s="171">
        <v>396215.73</v>
      </c>
      <c r="AE14" s="82"/>
      <c r="AF14" s="175">
        <v>396215.73</v>
      </c>
      <c r="AG14" s="173" t="s">
        <v>103</v>
      </c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74"/>
      <c r="BR14" s="158"/>
      <c r="BS14" s="158"/>
      <c r="BT14" s="158"/>
      <c r="BU14" s="158"/>
      <c r="BV14" s="158"/>
      <c r="BW14" s="158"/>
      <c r="BX14" s="158"/>
      <c r="BY14" s="158"/>
      <c r="BZ14" s="22"/>
    </row>
    <row r="15" spans="1:81" ht="9" customHeight="1" x14ac:dyDescent="0.15">
      <c r="A15" s="58"/>
      <c r="B15" s="151"/>
      <c r="C15" s="152"/>
      <c r="D15" s="80"/>
      <c r="E15" s="80"/>
      <c r="F15" s="163"/>
      <c r="G15" s="163"/>
      <c r="H15" s="96"/>
      <c r="I15" s="163"/>
      <c r="J15" s="96"/>
      <c r="K15" s="96"/>
      <c r="L15" s="96"/>
      <c r="M15" s="97"/>
      <c r="N15" s="98"/>
      <c r="O15" s="99"/>
      <c r="P15" s="153"/>
      <c r="Q15" s="108"/>
      <c r="R15" s="154"/>
      <c r="S15" s="96"/>
      <c r="T15" s="154"/>
      <c r="U15" s="96"/>
      <c r="V15" s="154"/>
      <c r="W15" s="96"/>
      <c r="X15" s="171"/>
      <c r="Y15" s="176">
        <v>1828415.61</v>
      </c>
      <c r="Z15" s="154"/>
      <c r="AA15" s="176">
        <v>3261665.58</v>
      </c>
      <c r="AB15" s="57"/>
      <c r="AC15" s="177"/>
      <c r="AD15" s="57"/>
      <c r="AE15" s="57"/>
      <c r="AF15" s="177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74"/>
      <c r="BR15" s="158"/>
      <c r="BS15" s="158"/>
      <c r="BT15" s="158"/>
      <c r="BU15" s="158"/>
      <c r="BV15" s="158"/>
      <c r="BW15" s="158"/>
      <c r="BX15" s="158"/>
      <c r="BY15" s="158"/>
    </row>
    <row r="16" spans="1:81" ht="12" customHeight="1" x14ac:dyDescent="0.15">
      <c r="A16" s="58"/>
      <c r="B16" s="257" t="s">
        <v>67</v>
      </c>
      <c r="C16" s="257"/>
      <c r="D16" s="60"/>
      <c r="E16" s="60"/>
      <c r="F16" s="61"/>
      <c r="G16" s="61"/>
      <c r="H16" s="54"/>
      <c r="I16" s="61"/>
      <c r="J16" s="54"/>
      <c r="K16" s="54"/>
      <c r="L16" s="54"/>
      <c r="M16" s="62"/>
      <c r="N16" s="63"/>
      <c r="O16" s="64"/>
      <c r="P16" s="65"/>
      <c r="Q16" s="66"/>
      <c r="R16" s="54"/>
      <c r="S16" s="54"/>
      <c r="T16" s="54"/>
      <c r="U16" s="54"/>
      <c r="V16" s="54"/>
      <c r="W16" s="54"/>
      <c r="X16" s="64"/>
      <c r="Y16" s="71"/>
      <c r="Z16" s="54"/>
      <c r="AA16" s="72"/>
      <c r="AB16" s="54"/>
      <c r="AC16" s="72"/>
      <c r="AD16" s="54"/>
      <c r="AE16" s="54"/>
      <c r="AF16" s="72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115"/>
      <c r="BR16" s="54"/>
      <c r="BS16" s="54"/>
      <c r="BT16" s="54"/>
      <c r="BU16" s="54"/>
      <c r="BV16" s="54"/>
      <c r="BW16" s="54"/>
      <c r="BX16" s="54"/>
      <c r="BY16" s="54"/>
    </row>
    <row r="17" spans="1:79" s="20" customFormat="1" ht="9.75" customHeight="1" x14ac:dyDescent="0.15">
      <c r="A17" s="70"/>
      <c r="B17" s="178" t="s">
        <v>66</v>
      </c>
      <c r="C17" s="152">
        <v>4870250.01</v>
      </c>
      <c r="D17" s="80">
        <v>42639</v>
      </c>
      <c r="E17" s="80">
        <v>45742</v>
      </c>
      <c r="F17" s="163"/>
      <c r="G17" s="163"/>
      <c r="H17" s="96"/>
      <c r="I17" s="163"/>
      <c r="J17" s="96"/>
      <c r="K17" s="96"/>
      <c r="L17" s="96"/>
      <c r="M17" s="97"/>
      <c r="N17" s="98"/>
      <c r="O17" s="99"/>
      <c r="P17" s="153"/>
      <c r="Q17" s="108"/>
      <c r="R17" s="154"/>
      <c r="S17" s="96"/>
      <c r="T17" s="154"/>
      <c r="U17" s="96"/>
      <c r="V17" s="154"/>
      <c r="W17" s="96"/>
      <c r="X17" s="171">
        <v>4870250.01</v>
      </c>
      <c r="Y17" s="96">
        <v>0</v>
      </c>
      <c r="Z17" s="171">
        <v>4870250.01</v>
      </c>
      <c r="AA17" s="96">
        <v>0</v>
      </c>
      <c r="AB17" s="171">
        <v>4870250.01</v>
      </c>
      <c r="AC17" s="172">
        <v>521812.5</v>
      </c>
      <c r="AD17" s="154">
        <f>AB17-AC17-AC18</f>
        <v>20132.969999999739</v>
      </c>
      <c r="AE17" s="57"/>
      <c r="AF17" s="175">
        <v>20132.969999999739</v>
      </c>
      <c r="AG17" s="251" t="s">
        <v>116</v>
      </c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9"/>
      <c r="BR17" s="172"/>
      <c r="BS17" s="172"/>
      <c r="BT17" s="172"/>
      <c r="BU17" s="172"/>
      <c r="BV17" s="172"/>
      <c r="BW17" s="172"/>
      <c r="BX17" s="172"/>
      <c r="BY17" s="172"/>
    </row>
    <row r="18" spans="1:79" s="20" customFormat="1" ht="9.75" customHeight="1" x14ac:dyDescent="0.15">
      <c r="A18" s="70"/>
      <c r="B18" s="178"/>
      <c r="C18" s="152"/>
      <c r="D18" s="80"/>
      <c r="E18" s="80"/>
      <c r="F18" s="163"/>
      <c r="G18" s="163"/>
      <c r="H18" s="96"/>
      <c r="I18" s="163"/>
      <c r="J18" s="96"/>
      <c r="K18" s="96"/>
      <c r="L18" s="96"/>
      <c r="M18" s="97"/>
      <c r="N18" s="98"/>
      <c r="O18" s="99"/>
      <c r="P18" s="153"/>
      <c r="Q18" s="108"/>
      <c r="R18" s="154"/>
      <c r="S18" s="96"/>
      <c r="T18" s="154"/>
      <c r="U18" s="96"/>
      <c r="V18" s="154"/>
      <c r="W18" s="96"/>
      <c r="X18" s="171"/>
      <c r="Y18" s="96"/>
      <c r="Z18" s="171"/>
      <c r="AA18" s="96"/>
      <c r="AB18" s="57"/>
      <c r="AC18" s="180">
        <v>4328304.54</v>
      </c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9"/>
      <c r="BR18" s="172"/>
      <c r="BS18" s="172"/>
      <c r="BT18" s="172"/>
      <c r="BU18" s="172"/>
      <c r="BV18" s="172"/>
      <c r="BW18" s="172"/>
      <c r="BX18" s="172"/>
      <c r="BY18" s="172"/>
    </row>
    <row r="19" spans="1:79" ht="10.5" customHeight="1" x14ac:dyDescent="0.15">
      <c r="A19" s="53"/>
      <c r="B19" s="151" t="s">
        <v>105</v>
      </c>
      <c r="C19" s="152">
        <v>4456273.75</v>
      </c>
      <c r="D19" s="80">
        <v>44223</v>
      </c>
      <c r="E19" s="80">
        <v>45963</v>
      </c>
      <c r="F19" s="96">
        <v>9543133.75</v>
      </c>
      <c r="G19" s="96">
        <v>2544835.6800000002</v>
      </c>
      <c r="H19" s="96">
        <f>F19-G19</f>
        <v>6998298.0700000003</v>
      </c>
      <c r="I19" s="96">
        <v>2544835.6800000002</v>
      </c>
      <c r="J19" s="96">
        <f>H19-I19</f>
        <v>4453462.3900000006</v>
      </c>
      <c r="K19" s="96">
        <v>2544835.6800000002</v>
      </c>
      <c r="L19" s="96">
        <v>0</v>
      </c>
      <c r="M19" s="97">
        <v>170044.50547819445</v>
      </c>
      <c r="N19" s="153" t="s">
        <v>18</v>
      </c>
      <c r="O19" s="99">
        <v>636208.92000000004</v>
      </c>
      <c r="P19" s="79" t="s">
        <v>10</v>
      </c>
      <c r="Q19" s="108" t="s">
        <v>11</v>
      </c>
      <c r="R19" s="154">
        <f>J19-K19</f>
        <v>1908626.7100000004</v>
      </c>
      <c r="S19" s="155">
        <v>1908626.71</v>
      </c>
      <c r="T19" s="154">
        <v>0</v>
      </c>
      <c r="U19" s="96"/>
      <c r="V19" s="154"/>
      <c r="W19" s="96"/>
      <c r="X19" s="154"/>
      <c r="Y19" s="96"/>
      <c r="Z19" s="154"/>
      <c r="AA19" s="96"/>
      <c r="AB19" s="57"/>
      <c r="AC19" s="96"/>
      <c r="AD19" s="57"/>
      <c r="AE19" s="57"/>
      <c r="AF19" s="96"/>
      <c r="AG19" s="57"/>
      <c r="AH19" s="181">
        <v>4456273.75</v>
      </c>
      <c r="AI19" s="57">
        <v>0</v>
      </c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181">
        <f>AH19-AI19</f>
        <v>4456273.75</v>
      </c>
      <c r="BC19" s="57">
        <v>1114068.45</v>
      </c>
      <c r="BJ19" s="159"/>
      <c r="BK19" s="159"/>
      <c r="BL19" s="57"/>
      <c r="BM19" s="57"/>
      <c r="BN19" s="182"/>
      <c r="BO19" s="49"/>
      <c r="BP19" s="49"/>
      <c r="BQ19" s="114"/>
      <c r="BR19" s="49"/>
      <c r="BS19" s="49"/>
      <c r="BT19" s="49"/>
      <c r="BU19" s="49"/>
      <c r="BV19" s="49"/>
      <c r="BW19" s="49"/>
      <c r="BX19" s="49"/>
      <c r="BY19" s="49"/>
    </row>
    <row r="20" spans="1:79" s="20" customFormat="1" ht="9.75" customHeight="1" x14ac:dyDescent="0.15">
      <c r="A20" s="70"/>
      <c r="B20" s="178"/>
      <c r="C20" s="278" t="s">
        <v>112</v>
      </c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80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9"/>
      <c r="BR20" s="172"/>
      <c r="BS20" s="172"/>
      <c r="BT20" s="172"/>
      <c r="BU20" s="172"/>
      <c r="BV20" s="172"/>
      <c r="BW20" s="172"/>
      <c r="BX20" s="172"/>
      <c r="BY20" s="172"/>
    </row>
    <row r="21" spans="1:79" s="20" customFormat="1" ht="10.5" customHeight="1" x14ac:dyDescent="0.15">
      <c r="A21" s="70"/>
      <c r="B21" s="81" t="s">
        <v>84</v>
      </c>
      <c r="C21" s="56"/>
      <c r="D21" s="56"/>
      <c r="E21" s="56"/>
      <c r="F21" s="166"/>
      <c r="G21" s="166"/>
      <c r="H21" s="57"/>
      <c r="I21" s="166"/>
      <c r="J21" s="57"/>
      <c r="K21" s="57"/>
      <c r="L21" s="57"/>
      <c r="M21" s="167"/>
      <c r="N21" s="168"/>
      <c r="O21" s="82"/>
      <c r="P21" s="169"/>
      <c r="Q21" s="170"/>
      <c r="R21" s="57"/>
      <c r="S21" s="57"/>
      <c r="T21" s="57"/>
      <c r="U21" s="57"/>
      <c r="V21" s="57"/>
      <c r="W21" s="57"/>
      <c r="X21" s="82"/>
      <c r="Y21" s="183"/>
      <c r="Z21" s="57"/>
      <c r="AA21" s="184"/>
      <c r="AB21" s="57"/>
      <c r="AC21" s="184"/>
      <c r="AD21" s="57"/>
      <c r="AE21" s="57"/>
      <c r="AF21" s="184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117"/>
      <c r="BR21" s="57"/>
      <c r="BS21" s="57"/>
      <c r="BT21" s="57"/>
      <c r="BU21" s="57"/>
      <c r="BV21" s="57"/>
      <c r="BW21" s="57"/>
      <c r="BX21" s="57"/>
      <c r="BY21" s="57"/>
    </row>
    <row r="22" spans="1:79" s="20" customFormat="1" ht="11.25" customHeight="1" x14ac:dyDescent="0.15">
      <c r="A22" s="70"/>
      <c r="B22" s="178" t="s">
        <v>78</v>
      </c>
      <c r="C22" s="152">
        <v>2004825.12</v>
      </c>
      <c r="D22" s="80">
        <v>43224</v>
      </c>
      <c r="E22" s="80">
        <v>46146</v>
      </c>
      <c r="F22" s="163"/>
      <c r="G22" s="163"/>
      <c r="H22" s="96"/>
      <c r="I22" s="163"/>
      <c r="J22" s="96"/>
      <c r="K22" s="96"/>
      <c r="L22" s="96"/>
      <c r="M22" s="97"/>
      <c r="N22" s="98"/>
      <c r="O22" s="99"/>
      <c r="P22" s="153"/>
      <c r="Q22" s="108"/>
      <c r="R22" s="154"/>
      <c r="S22" s="96"/>
      <c r="T22" s="154"/>
      <c r="U22" s="96"/>
      <c r="V22" s="154"/>
      <c r="W22" s="96"/>
      <c r="X22" s="171"/>
      <c r="Y22" s="96"/>
      <c r="Z22" s="171"/>
      <c r="AA22" s="96"/>
      <c r="AB22" s="171">
        <v>2004825.12</v>
      </c>
      <c r="AC22" s="172">
        <v>0</v>
      </c>
      <c r="AD22" s="154">
        <f>AB22-AC22</f>
        <v>2004825.12</v>
      </c>
      <c r="AE22" s="57"/>
      <c r="AF22" s="175">
        <v>2004825.12</v>
      </c>
      <c r="AG22" s="173" t="s">
        <v>103</v>
      </c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18"/>
      <c r="BR22" s="68"/>
      <c r="BS22" s="68"/>
      <c r="BT22" s="68"/>
      <c r="BU22" s="68"/>
      <c r="BV22" s="68"/>
      <c r="BW22" s="68"/>
      <c r="BX22" s="68"/>
      <c r="BY22" s="68"/>
    </row>
    <row r="23" spans="1:79" s="20" customFormat="1" ht="8.4499999999999993" customHeight="1" x14ac:dyDescent="0.15">
      <c r="A23" s="70"/>
      <c r="B23" s="185"/>
      <c r="C23" s="152"/>
      <c r="D23" s="80"/>
      <c r="E23" s="80"/>
      <c r="F23" s="163"/>
      <c r="G23" s="163"/>
      <c r="H23" s="96"/>
      <c r="I23" s="163"/>
      <c r="J23" s="96"/>
      <c r="K23" s="96"/>
      <c r="L23" s="96"/>
      <c r="M23" s="97"/>
      <c r="N23" s="98"/>
      <c r="O23" s="99"/>
      <c r="P23" s="153"/>
      <c r="Q23" s="108"/>
      <c r="R23" s="154"/>
      <c r="S23" s="96"/>
      <c r="T23" s="154"/>
      <c r="U23" s="96"/>
      <c r="V23" s="154"/>
      <c r="W23" s="96"/>
      <c r="X23" s="171"/>
      <c r="Y23" s="96"/>
      <c r="Z23" s="171"/>
      <c r="AA23" s="96"/>
      <c r="AB23" s="82"/>
      <c r="AC23" s="172"/>
      <c r="AD23" s="57"/>
      <c r="AE23" s="57"/>
      <c r="AF23" s="172"/>
      <c r="AG23" s="57"/>
      <c r="AH23" s="57"/>
      <c r="AI23" s="96"/>
      <c r="AJ23" s="57"/>
      <c r="AK23" s="96"/>
      <c r="AL23" s="57"/>
      <c r="AM23" s="96"/>
      <c r="AN23" s="57"/>
      <c r="AO23" s="96"/>
      <c r="AP23" s="57"/>
      <c r="AQ23" s="96"/>
      <c r="AR23" s="57"/>
      <c r="AS23" s="96"/>
      <c r="AT23" s="57"/>
      <c r="AU23" s="96"/>
      <c r="AV23" s="57"/>
      <c r="AW23" s="96"/>
      <c r="AX23" s="57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119"/>
      <c r="BR23" s="73"/>
      <c r="BS23" s="73"/>
      <c r="BT23" s="73"/>
      <c r="BU23" s="73"/>
      <c r="BV23" s="73"/>
      <c r="BW23" s="73"/>
      <c r="BX23" s="73"/>
      <c r="BY23" s="73"/>
    </row>
    <row r="24" spans="1:79" ht="12" customHeight="1" x14ac:dyDescent="0.15">
      <c r="A24" s="257" t="s">
        <v>122</v>
      </c>
      <c r="B24" s="257"/>
      <c r="C24" s="56"/>
      <c r="D24" s="56"/>
      <c r="E24" s="166"/>
      <c r="F24" s="166"/>
      <c r="G24" s="57"/>
      <c r="H24" s="166"/>
      <c r="I24" s="57"/>
      <c r="J24" s="57"/>
      <c r="K24" s="57"/>
      <c r="L24" s="167"/>
      <c r="M24" s="168"/>
      <c r="N24" s="82"/>
      <c r="O24" s="169"/>
      <c r="P24" s="170"/>
      <c r="Q24" s="57"/>
      <c r="R24" s="57"/>
      <c r="S24" s="57"/>
      <c r="T24" s="57"/>
      <c r="U24" s="57"/>
      <c r="V24" s="57"/>
      <c r="W24" s="82"/>
      <c r="X24" s="183"/>
      <c r="Y24" s="57"/>
      <c r="Z24" s="184"/>
      <c r="AA24" s="57"/>
      <c r="AB24" s="184"/>
      <c r="AC24" s="57"/>
      <c r="AD24" s="184"/>
      <c r="AE24" s="184"/>
      <c r="AF24" s="57"/>
      <c r="AG24" s="57"/>
      <c r="AH24" s="57"/>
      <c r="AI24" s="57"/>
      <c r="AJ24" s="57"/>
      <c r="AK24" s="57"/>
      <c r="AL24" s="108"/>
      <c r="AM24" s="57"/>
      <c r="AN24" s="108"/>
      <c r="AO24" s="57"/>
      <c r="AP24" s="108"/>
      <c r="AQ24" s="57"/>
      <c r="AR24" s="108"/>
      <c r="AS24" s="57"/>
      <c r="AT24" s="108"/>
      <c r="AU24" s="57"/>
      <c r="AV24" s="108"/>
      <c r="AW24" s="57"/>
      <c r="AX24" s="108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115"/>
      <c r="BR24" s="54"/>
      <c r="BS24" s="54"/>
      <c r="BT24" s="54"/>
      <c r="BU24" s="54"/>
      <c r="BV24" s="54"/>
      <c r="BW24" s="54"/>
      <c r="BX24" s="54"/>
      <c r="BY24" s="54"/>
    </row>
    <row r="25" spans="1:79" s="15" customFormat="1" ht="19.350000000000001" customHeight="1" x14ac:dyDescent="0.15">
      <c r="A25" s="186" t="s">
        <v>38</v>
      </c>
      <c r="B25" s="200" t="s">
        <v>123</v>
      </c>
      <c r="C25" s="162">
        <v>8870652.25</v>
      </c>
      <c r="D25" s="56">
        <v>44722</v>
      </c>
      <c r="E25" s="56">
        <v>48009</v>
      </c>
      <c r="F25" s="57">
        <v>5250000</v>
      </c>
      <c r="G25" s="57">
        <v>0</v>
      </c>
      <c r="H25" s="57">
        <f>F25-G25</f>
        <v>5250000</v>
      </c>
      <c r="I25" s="57">
        <v>750000</v>
      </c>
      <c r="J25" s="57">
        <f>H25-I25</f>
        <v>4500000</v>
      </c>
      <c r="K25" s="57">
        <v>750000</v>
      </c>
      <c r="L25" s="57">
        <v>0</v>
      </c>
      <c r="M25" s="167">
        <v>93660</v>
      </c>
      <c r="N25" s="168">
        <v>39200</v>
      </c>
      <c r="O25" s="82"/>
      <c r="P25" s="87"/>
      <c r="Q25" s="49" t="s">
        <v>16</v>
      </c>
      <c r="R25" s="57">
        <f>J25-K25</f>
        <v>3750000</v>
      </c>
      <c r="S25" s="57">
        <v>750000</v>
      </c>
      <c r="T25" s="57">
        <f>R25-S25</f>
        <v>3000000</v>
      </c>
      <c r="U25" s="57">
        <v>750000</v>
      </c>
      <c r="V25" s="57">
        <f>T25-U25</f>
        <v>2250000</v>
      </c>
      <c r="W25" s="57">
        <v>0</v>
      </c>
      <c r="X25" s="57">
        <f>V25-W25</f>
        <v>2250000</v>
      </c>
      <c r="Y25" s="182">
        <v>750000</v>
      </c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57">
        <v>8870652.25</v>
      </c>
      <c r="BF25" s="57">
        <v>0</v>
      </c>
      <c r="BG25" s="187">
        <v>8870652.25</v>
      </c>
      <c r="BH25" s="57"/>
      <c r="BI25" s="57"/>
      <c r="BJ25" s="57"/>
      <c r="BK25" s="57"/>
      <c r="BL25" s="57"/>
      <c r="BM25" s="57"/>
      <c r="BN25" s="57">
        <f>BL25-BM25</f>
        <v>0</v>
      </c>
      <c r="BO25" s="57"/>
      <c r="BP25" s="57"/>
      <c r="BQ25" s="115"/>
      <c r="BR25" s="67"/>
      <c r="BS25" s="54"/>
      <c r="BT25" s="67"/>
      <c r="BU25" s="54"/>
      <c r="BV25" s="67"/>
      <c r="BW25" s="54"/>
      <c r="BX25" s="67"/>
      <c r="BY25" s="76"/>
      <c r="BZ25" s="16"/>
    </row>
    <row r="26" spans="1:79" ht="11.25" customHeight="1" x14ac:dyDescent="0.15">
      <c r="A26" s="58"/>
      <c r="B26" s="178"/>
      <c r="C26" s="152"/>
      <c r="D26" s="80"/>
      <c r="E26" s="278" t="s">
        <v>128</v>
      </c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79"/>
      <c r="BG26" s="280"/>
      <c r="BH26" s="57"/>
      <c r="BI26" s="57"/>
      <c r="BJ26" s="57"/>
      <c r="BK26" s="158"/>
      <c r="BL26" s="158"/>
      <c r="BM26" s="158"/>
      <c r="BN26" s="158"/>
      <c r="BO26" s="158"/>
      <c r="BP26" s="158"/>
      <c r="BQ26" s="118"/>
      <c r="BR26" s="68"/>
      <c r="BS26" s="68"/>
      <c r="BT26" s="68"/>
      <c r="BU26" s="68"/>
      <c r="BV26" s="68"/>
      <c r="BW26" s="68"/>
      <c r="BX26" s="68"/>
      <c r="BY26" s="68"/>
    </row>
    <row r="27" spans="1:79" ht="12.95" customHeight="1" x14ac:dyDescent="0.2">
      <c r="A27" s="70"/>
      <c r="B27" s="204" t="s">
        <v>68</v>
      </c>
      <c r="C27" s="189"/>
      <c r="D27" s="56"/>
      <c r="E27" s="56"/>
      <c r="F27" s="166"/>
      <c r="G27" s="166"/>
      <c r="H27" s="57"/>
      <c r="I27" s="166"/>
      <c r="J27" s="57"/>
      <c r="K27" s="57"/>
      <c r="L27" s="57"/>
      <c r="M27" s="167"/>
      <c r="N27" s="168"/>
      <c r="O27" s="82"/>
      <c r="P27" s="169"/>
      <c r="Q27" s="170"/>
      <c r="R27" s="57"/>
      <c r="S27" s="57"/>
      <c r="T27" s="57"/>
      <c r="U27" s="57"/>
      <c r="V27" s="57"/>
      <c r="W27" s="57"/>
      <c r="X27" s="82"/>
      <c r="Y27" s="57"/>
      <c r="Z27" s="82"/>
      <c r="AA27" s="57"/>
      <c r="AB27" s="82"/>
      <c r="AC27" s="57"/>
      <c r="AD27" s="57"/>
      <c r="AE27" s="57"/>
      <c r="AF27" s="190"/>
      <c r="AG27" s="57"/>
      <c r="AH27" s="57"/>
      <c r="AI27" s="190"/>
      <c r="AJ27" s="57"/>
      <c r="AK27" s="190"/>
      <c r="AL27" s="57"/>
      <c r="AM27" s="190"/>
      <c r="AN27" s="57"/>
      <c r="AO27" s="190"/>
      <c r="AP27" s="57"/>
      <c r="AQ27" s="190"/>
      <c r="AR27" s="57"/>
      <c r="AS27" s="190"/>
      <c r="AT27" s="57"/>
      <c r="AU27" s="190"/>
      <c r="AV27" s="57"/>
      <c r="AW27" s="190"/>
      <c r="AX27" s="57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20"/>
      <c r="BR27" s="74"/>
      <c r="BS27" s="74"/>
      <c r="BT27" s="74"/>
      <c r="BU27" s="74"/>
      <c r="BV27" s="74"/>
      <c r="BW27" s="74"/>
      <c r="BX27" s="74"/>
      <c r="BY27" s="74"/>
    </row>
    <row r="28" spans="1:79" ht="11.25" customHeight="1" thickBot="1" x14ac:dyDescent="0.2">
      <c r="A28" s="188" t="s">
        <v>13</v>
      </c>
      <c r="B28" s="191" t="s">
        <v>72</v>
      </c>
      <c r="C28" s="152">
        <v>1499987.03</v>
      </c>
      <c r="D28" s="80">
        <v>43069</v>
      </c>
      <c r="E28" s="80">
        <v>46721</v>
      </c>
      <c r="F28" s="163"/>
      <c r="G28" s="163"/>
      <c r="H28" s="96"/>
      <c r="I28" s="163"/>
      <c r="J28" s="96"/>
      <c r="K28" s="96"/>
      <c r="L28" s="96"/>
      <c r="M28" s="97"/>
      <c r="N28" s="98"/>
      <c r="O28" s="99"/>
      <c r="P28" s="153"/>
      <c r="Q28" s="108"/>
      <c r="R28" s="154"/>
      <c r="S28" s="96"/>
      <c r="T28" s="154"/>
      <c r="U28" s="96"/>
      <c r="V28" s="154"/>
      <c r="W28" s="96"/>
      <c r="X28" s="171"/>
      <c r="Y28" s="96"/>
      <c r="Z28" s="171">
        <f>$C$28</f>
        <v>1499987.03</v>
      </c>
      <c r="AA28" s="96">
        <v>0</v>
      </c>
      <c r="AB28" s="154">
        <f>Z28-AA28</f>
        <v>1499987.03</v>
      </c>
      <c r="AC28" s="172">
        <v>27777.54</v>
      </c>
      <c r="AD28" s="154">
        <f>AB28-AC28</f>
        <v>1472209.49</v>
      </c>
      <c r="AE28" s="57"/>
      <c r="AF28" s="175">
        <v>1472209.49</v>
      </c>
      <c r="AG28" s="173" t="s">
        <v>110</v>
      </c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18"/>
      <c r="BR28" s="68"/>
      <c r="BS28" s="68"/>
      <c r="BT28" s="68"/>
      <c r="BU28" s="68"/>
      <c r="BV28" s="68"/>
      <c r="BW28" s="68"/>
      <c r="BX28" s="68"/>
      <c r="BY28" s="68"/>
      <c r="BZ28" s="21"/>
    </row>
    <row r="29" spans="1:79" ht="11.25" customHeight="1" thickTop="1" thickBot="1" x14ac:dyDescent="0.2">
      <c r="A29" s="188" t="s">
        <v>13</v>
      </c>
      <c r="B29" s="191" t="s">
        <v>104</v>
      </c>
      <c r="C29" s="152">
        <v>1493788.13</v>
      </c>
      <c r="D29" s="80">
        <v>43797</v>
      </c>
      <c r="E29" s="80">
        <v>47452</v>
      </c>
      <c r="F29" s="163"/>
      <c r="G29" s="163"/>
      <c r="H29" s="96"/>
      <c r="I29" s="163"/>
      <c r="J29" s="96"/>
      <c r="K29" s="96"/>
      <c r="L29" s="96"/>
      <c r="M29" s="97"/>
      <c r="N29" s="98"/>
      <c r="O29" s="99"/>
      <c r="P29" s="153"/>
      <c r="Q29" s="108"/>
      <c r="R29" s="154"/>
      <c r="S29" s="96"/>
      <c r="T29" s="154"/>
      <c r="U29" s="96"/>
      <c r="V29" s="154"/>
      <c r="W29" s="96"/>
      <c r="X29" s="171"/>
      <c r="Y29" s="96"/>
      <c r="Z29" s="171">
        <f>$C$28</f>
        <v>1499987.03</v>
      </c>
      <c r="AA29" s="96">
        <v>0</v>
      </c>
      <c r="AB29" s="154">
        <v>0</v>
      </c>
      <c r="AC29" s="172">
        <v>0</v>
      </c>
      <c r="AD29" s="154">
        <f>AB29-AC29</f>
        <v>0</v>
      </c>
      <c r="AE29" s="154">
        <v>1493788.13</v>
      </c>
      <c r="AF29" s="58">
        <v>0</v>
      </c>
      <c r="AG29" s="181">
        <f>AE29-AF29</f>
        <v>1493788.13</v>
      </c>
      <c r="AH29" s="57"/>
      <c r="AI29" s="175">
        <v>1493788.13</v>
      </c>
      <c r="AJ29" s="57"/>
      <c r="AK29" s="190"/>
      <c r="AL29" s="57"/>
      <c r="AM29" s="190"/>
      <c r="AN29" s="57"/>
      <c r="AO29" s="190"/>
      <c r="AP29" s="57"/>
      <c r="AQ29" s="190"/>
      <c r="AR29" s="57"/>
      <c r="AS29" s="190"/>
      <c r="AT29" s="57"/>
      <c r="AU29" s="190"/>
      <c r="AV29" s="57"/>
      <c r="AW29" s="192"/>
      <c r="AX29" s="57"/>
      <c r="AY29" s="192"/>
      <c r="AZ29" s="192"/>
      <c r="BA29" s="192"/>
      <c r="BB29" s="173" t="s">
        <v>109</v>
      </c>
      <c r="BC29" s="173"/>
      <c r="BE29" s="158"/>
      <c r="BF29" s="158"/>
      <c r="BG29" s="158"/>
      <c r="BH29" s="158"/>
      <c r="BI29" s="57"/>
      <c r="BJ29" s="57"/>
      <c r="BK29" s="190"/>
      <c r="BL29" s="57"/>
      <c r="BM29" s="190"/>
      <c r="BN29" s="57"/>
      <c r="BO29" s="190"/>
      <c r="BP29" s="57"/>
      <c r="BQ29" s="121"/>
      <c r="BR29" s="67"/>
      <c r="BS29" s="75"/>
      <c r="BT29" s="67"/>
      <c r="BU29" s="76"/>
      <c r="BV29" s="67"/>
      <c r="BW29" s="76"/>
      <c r="BX29" s="67"/>
      <c r="BY29" s="76"/>
      <c r="BZ29" s="21"/>
    </row>
    <row r="30" spans="1:79" ht="13.5" customHeight="1" thickTop="1" x14ac:dyDescent="0.2">
      <c r="A30" s="58"/>
      <c r="B30" s="204" t="s">
        <v>79</v>
      </c>
      <c r="C30" s="162"/>
      <c r="D30" s="278" t="s">
        <v>161</v>
      </c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79"/>
      <c r="BC30" s="279"/>
      <c r="BD30" s="280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117"/>
      <c r="BR30" s="57"/>
      <c r="BS30" s="57"/>
      <c r="BT30" s="57"/>
      <c r="BU30" s="57"/>
      <c r="BV30" s="57"/>
      <c r="BW30" s="57"/>
      <c r="BX30" s="57"/>
      <c r="BY30" s="57"/>
      <c r="CA30" s="3" t="s">
        <v>55</v>
      </c>
    </row>
    <row r="31" spans="1:79" s="15" customFormat="1" ht="12.75" customHeight="1" x14ac:dyDescent="0.15">
      <c r="A31" s="188" t="s">
        <v>38</v>
      </c>
      <c r="B31" s="201" t="s">
        <v>160</v>
      </c>
      <c r="C31" s="231">
        <v>6000000</v>
      </c>
      <c r="D31" s="80">
        <v>38835</v>
      </c>
      <c r="E31" s="80">
        <v>42853</v>
      </c>
      <c r="F31" s="96">
        <v>5250000</v>
      </c>
      <c r="G31" s="96">
        <v>0</v>
      </c>
      <c r="H31" s="96">
        <f>F31-G31</f>
        <v>5250000</v>
      </c>
      <c r="I31" s="96">
        <v>750000</v>
      </c>
      <c r="J31" s="96">
        <f>H31-I31</f>
        <v>4500000</v>
      </c>
      <c r="K31" s="96">
        <v>750000</v>
      </c>
      <c r="L31" s="96">
        <v>0</v>
      </c>
      <c r="M31" s="97">
        <v>93660</v>
      </c>
      <c r="N31" s="98">
        <v>39200</v>
      </c>
      <c r="O31" s="99"/>
      <c r="P31" s="79"/>
      <c r="Q31" s="52" t="s">
        <v>16</v>
      </c>
      <c r="R31" s="154">
        <f>J31-K31</f>
        <v>3750000</v>
      </c>
      <c r="S31" s="96">
        <v>750000</v>
      </c>
      <c r="T31" s="154">
        <f>R31-S31</f>
        <v>3000000</v>
      </c>
      <c r="U31" s="96">
        <v>750000</v>
      </c>
      <c r="V31" s="154">
        <f>T31-U31</f>
        <v>2250000</v>
      </c>
      <c r="W31" s="156">
        <v>0</v>
      </c>
      <c r="X31" s="154">
        <f>V31-W31</f>
        <v>2250000</v>
      </c>
      <c r="Y31" s="164">
        <v>750000</v>
      </c>
      <c r="Z31" s="159" t="s">
        <v>64</v>
      </c>
      <c r="AA31" s="159"/>
      <c r="AB31" s="251" t="s">
        <v>118</v>
      </c>
      <c r="AC31" s="251"/>
      <c r="AD31" s="251"/>
      <c r="AE31" s="251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16"/>
      <c r="BR31" s="55"/>
      <c r="BS31" s="55"/>
      <c r="BT31" s="55"/>
      <c r="BU31" s="55"/>
      <c r="BV31" s="55"/>
      <c r="BW31" s="55"/>
      <c r="BX31" s="55"/>
      <c r="BY31" s="55"/>
      <c r="BZ31" s="10"/>
    </row>
    <row r="32" spans="1:79" ht="9" customHeight="1" x14ac:dyDescent="0.15">
      <c r="A32" s="77"/>
      <c r="B32" s="151" t="s">
        <v>113</v>
      </c>
      <c r="C32" s="231">
        <v>3465720</v>
      </c>
      <c r="D32" s="80">
        <v>39261</v>
      </c>
      <c r="E32" s="80">
        <v>42914</v>
      </c>
      <c r="F32" s="99">
        <v>3465720</v>
      </c>
      <c r="G32" s="99">
        <v>433215</v>
      </c>
      <c r="H32" s="99">
        <f>F32-G32</f>
        <v>3032505</v>
      </c>
      <c r="I32" s="99">
        <v>433215</v>
      </c>
      <c r="J32" s="96">
        <f>H32-I32</f>
        <v>2599290</v>
      </c>
      <c r="K32" s="99">
        <v>433215</v>
      </c>
      <c r="L32" s="96">
        <v>0</v>
      </c>
      <c r="M32" s="97">
        <v>491231.15279999998</v>
      </c>
      <c r="N32" s="98">
        <v>39992</v>
      </c>
      <c r="O32" s="99"/>
      <c r="P32" s="79"/>
      <c r="Q32" s="52" t="s">
        <v>15</v>
      </c>
      <c r="R32" s="154">
        <f>J32-K32</f>
        <v>2166075</v>
      </c>
      <c r="S32" s="99">
        <v>433215</v>
      </c>
      <c r="T32" s="154">
        <f>R32-S32</f>
        <v>1732860</v>
      </c>
      <c r="U32" s="99">
        <v>433215</v>
      </c>
      <c r="V32" s="154">
        <f>T32-U32</f>
        <v>1299645</v>
      </c>
      <c r="W32" s="99">
        <v>433215</v>
      </c>
      <c r="X32" s="171">
        <f>V32-W32</f>
        <v>866430</v>
      </c>
      <c r="Y32" s="99">
        <v>433215</v>
      </c>
      <c r="Z32" s="171">
        <f>X32-Y32</f>
        <v>433215</v>
      </c>
      <c r="AA32" s="193">
        <v>433215</v>
      </c>
      <c r="AB32" s="82"/>
      <c r="AC32" s="99"/>
      <c r="AD32" s="82"/>
      <c r="AE32" s="82"/>
      <c r="AF32" s="99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122"/>
      <c r="BR32" s="64"/>
      <c r="BS32" s="64"/>
      <c r="BT32" s="64"/>
      <c r="BU32" s="64"/>
      <c r="BV32" s="64"/>
      <c r="BW32" s="64"/>
      <c r="BX32" s="64"/>
      <c r="BY32" s="64"/>
    </row>
    <row r="33" spans="1:78" ht="3.75" hidden="1" customHeight="1" thickBot="1" x14ac:dyDescent="0.2">
      <c r="A33" s="59"/>
      <c r="B33" s="264" t="s">
        <v>38</v>
      </c>
      <c r="C33" s="264"/>
      <c r="D33" s="56"/>
      <c r="E33" s="56"/>
      <c r="F33" s="57"/>
      <c r="G33" s="57"/>
      <c r="H33" s="57"/>
      <c r="I33" s="78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49"/>
      <c r="V33" s="57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114"/>
      <c r="BR33" s="49"/>
      <c r="BS33" s="49"/>
      <c r="BT33" s="49"/>
      <c r="BU33" s="49"/>
      <c r="BV33" s="49"/>
      <c r="BW33" s="49"/>
      <c r="BX33" s="49"/>
      <c r="BY33" s="49"/>
    </row>
    <row r="34" spans="1:78" s="15" customFormat="1" ht="13.5" customHeight="1" x14ac:dyDescent="0.15">
      <c r="A34" s="186" t="s">
        <v>38</v>
      </c>
      <c r="B34" s="200" t="s">
        <v>114</v>
      </c>
      <c r="C34" s="232">
        <v>6453753</v>
      </c>
      <c r="D34" s="56">
        <v>44736</v>
      </c>
      <c r="E34" s="56">
        <v>48023</v>
      </c>
      <c r="F34" s="57">
        <v>5250000</v>
      </c>
      <c r="G34" s="57">
        <v>0</v>
      </c>
      <c r="H34" s="57">
        <f>F34-G34</f>
        <v>5250000</v>
      </c>
      <c r="I34" s="57">
        <v>750000</v>
      </c>
      <c r="J34" s="57">
        <f>H34-I34</f>
        <v>4500000</v>
      </c>
      <c r="K34" s="57">
        <v>750000</v>
      </c>
      <c r="L34" s="57">
        <v>0</v>
      </c>
      <c r="M34" s="167">
        <v>93660</v>
      </c>
      <c r="N34" s="168">
        <v>39200</v>
      </c>
      <c r="O34" s="82"/>
      <c r="P34" s="87"/>
      <c r="Q34" s="49" t="s">
        <v>16</v>
      </c>
      <c r="R34" s="57">
        <f>J34-K34</f>
        <v>3750000</v>
      </c>
      <c r="S34" s="57">
        <v>750000</v>
      </c>
      <c r="T34" s="57">
        <f>R34-S34</f>
        <v>3000000</v>
      </c>
      <c r="U34" s="57">
        <v>750000</v>
      </c>
      <c r="V34" s="57">
        <f>T34-U34</f>
        <v>2250000</v>
      </c>
      <c r="W34" s="57">
        <v>0</v>
      </c>
      <c r="X34" s="57">
        <f>V34-W34</f>
        <v>2250000</v>
      </c>
      <c r="Y34" s="182">
        <v>750000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57">
        <v>6453753</v>
      </c>
      <c r="BF34" s="57">
        <v>0</v>
      </c>
      <c r="BG34" s="187">
        <v>129347.75</v>
      </c>
      <c r="BH34" s="194">
        <v>6324405</v>
      </c>
      <c r="BI34" s="57">
        <f>BE34/32*2</f>
        <v>403359.5625</v>
      </c>
      <c r="BJ34" s="57">
        <f>BH34-BI34</f>
        <v>5921045.4375</v>
      </c>
      <c r="BK34" s="57">
        <v>806719.12</v>
      </c>
      <c r="BL34" s="57">
        <f>BJ34-BK34</f>
        <v>5114326.3174999999</v>
      </c>
      <c r="BM34" s="57">
        <v>806719.12</v>
      </c>
      <c r="BN34" s="57">
        <f>BL34-BM34</f>
        <v>4307607.1974999998</v>
      </c>
      <c r="BO34" s="57">
        <v>806719.12</v>
      </c>
      <c r="BP34" s="57">
        <f>BN34-BO34</f>
        <v>3500888.0774999997</v>
      </c>
      <c r="BQ34" s="115">
        <v>806719.12</v>
      </c>
      <c r="BR34" s="67">
        <f>BP34-BQ34</f>
        <v>2694168.9574999996</v>
      </c>
      <c r="BS34" s="54">
        <v>806719.12</v>
      </c>
      <c r="BT34" s="67">
        <f>BR34-BS34</f>
        <v>1887449.8374999994</v>
      </c>
      <c r="BU34" s="54">
        <v>806719.12</v>
      </c>
      <c r="BV34" s="67">
        <f>BT34-BU34</f>
        <v>1080730.7174999993</v>
      </c>
      <c r="BW34" s="54">
        <v>806719.12</v>
      </c>
      <c r="BX34" s="67">
        <f>BV34-BW34</f>
        <v>274011.59749999933</v>
      </c>
      <c r="BY34" s="175">
        <f>BX34</f>
        <v>274011.59749999933</v>
      </c>
      <c r="BZ34" s="16"/>
    </row>
    <row r="35" spans="1:78" x14ac:dyDescent="0.15">
      <c r="A35" s="58"/>
      <c r="B35" s="79"/>
      <c r="C35" s="152"/>
      <c r="D35" s="80"/>
      <c r="E35" s="80"/>
      <c r="F35" s="58"/>
      <c r="G35" s="58"/>
      <c r="H35" s="58"/>
      <c r="I35" s="58"/>
      <c r="J35" s="58"/>
      <c r="K35" s="58"/>
      <c r="L35" s="58"/>
      <c r="M35" s="58"/>
      <c r="N35" s="79"/>
      <c r="O35" s="58"/>
      <c r="P35" s="58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123"/>
      <c r="BR35" s="52"/>
      <c r="BS35" s="52"/>
      <c r="BT35" s="52"/>
      <c r="BU35" s="52"/>
      <c r="BV35" s="52"/>
      <c r="BW35" s="52"/>
      <c r="BX35" s="52"/>
      <c r="BY35" s="52"/>
    </row>
    <row r="36" spans="1:78" ht="10.5" customHeight="1" x14ac:dyDescent="0.15">
      <c r="A36" s="195" t="s">
        <v>35</v>
      </c>
      <c r="B36" s="257" t="s">
        <v>77</v>
      </c>
      <c r="C36" s="257"/>
      <c r="D36" s="56"/>
      <c r="E36" s="56"/>
      <c r="F36" s="56">
        <v>42914</v>
      </c>
      <c r="G36" s="82">
        <v>3465720</v>
      </c>
      <c r="H36" s="82">
        <v>433215</v>
      </c>
      <c r="I36" s="82">
        <f>G36-H36</f>
        <v>3032505</v>
      </c>
      <c r="J36" s="82">
        <v>433215</v>
      </c>
      <c r="K36" s="57">
        <f>I36-J36</f>
        <v>2599290</v>
      </c>
      <c r="L36" s="82">
        <v>433215</v>
      </c>
      <c r="M36" s="57">
        <v>0</v>
      </c>
      <c r="N36" s="167">
        <v>491231.15279999998</v>
      </c>
      <c r="O36" s="168">
        <v>39992</v>
      </c>
      <c r="P36" s="82"/>
      <c r="Q36" s="87"/>
      <c r="R36" s="49" t="s">
        <v>15</v>
      </c>
      <c r="S36" s="57">
        <f>K36-L36</f>
        <v>2166075</v>
      </c>
      <c r="T36" s="82">
        <v>433215</v>
      </c>
      <c r="U36" s="57">
        <f>S36-T36</f>
        <v>1732860</v>
      </c>
      <c r="V36" s="82">
        <v>433215</v>
      </c>
      <c r="W36" s="57">
        <f>U36-V36</f>
        <v>1299645</v>
      </c>
      <c r="X36" s="82"/>
      <c r="Y36" s="82"/>
      <c r="Z36" s="196"/>
      <c r="AA36" s="82"/>
      <c r="AB36" s="196"/>
      <c r="AC36" s="82"/>
      <c r="AD36" s="57"/>
      <c r="AE36" s="57"/>
      <c r="AF36" s="82"/>
      <c r="AG36" s="57"/>
      <c r="AH36" s="57"/>
      <c r="AI36" s="82"/>
      <c r="AJ36" s="57"/>
      <c r="AK36" s="82"/>
      <c r="AL36" s="57"/>
      <c r="AM36" s="82"/>
      <c r="AN36" s="57"/>
      <c r="AO36" s="82"/>
      <c r="AP36" s="57"/>
      <c r="AQ36" s="82"/>
      <c r="AR36" s="57"/>
      <c r="AS36" s="82"/>
      <c r="AT36" s="57"/>
      <c r="AU36" s="82"/>
      <c r="AV36" s="57"/>
      <c r="AW36" s="82"/>
      <c r="AX36" s="57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122"/>
      <c r="BR36" s="64"/>
      <c r="BS36" s="64"/>
      <c r="BT36" s="64"/>
      <c r="BU36" s="64"/>
      <c r="BV36" s="64"/>
      <c r="BW36" s="64"/>
      <c r="BX36" s="64"/>
      <c r="BY36" s="64"/>
    </row>
    <row r="37" spans="1:78" ht="11.25" customHeight="1" x14ac:dyDescent="0.15">
      <c r="A37" s="58"/>
      <c r="B37" s="151" t="s">
        <v>152</v>
      </c>
      <c r="C37" s="162">
        <v>5967767.25</v>
      </c>
      <c r="D37" s="80">
        <v>42936</v>
      </c>
      <c r="E37" s="80">
        <v>46588</v>
      </c>
      <c r="F37" s="80">
        <v>42914</v>
      </c>
      <c r="G37" s="99">
        <v>3465720</v>
      </c>
      <c r="H37" s="99">
        <v>433215</v>
      </c>
      <c r="I37" s="99">
        <f>G37-H37</f>
        <v>3032505</v>
      </c>
      <c r="J37" s="99">
        <v>433215</v>
      </c>
      <c r="K37" s="96">
        <f>I37-J37</f>
        <v>2599290</v>
      </c>
      <c r="L37" s="99">
        <v>433215</v>
      </c>
      <c r="M37" s="96">
        <v>0</v>
      </c>
      <c r="N37" s="97">
        <v>491231.15279999998</v>
      </c>
      <c r="O37" s="98">
        <v>39992</v>
      </c>
      <c r="P37" s="99"/>
      <c r="Q37" s="79"/>
      <c r="R37" s="52" t="s">
        <v>15</v>
      </c>
      <c r="S37" s="154">
        <f>K37-L37</f>
        <v>2166075</v>
      </c>
      <c r="T37" s="99">
        <v>433215</v>
      </c>
      <c r="U37" s="154">
        <f>S37-T37</f>
        <v>1732860</v>
      </c>
      <c r="V37" s="99">
        <v>433215</v>
      </c>
      <c r="W37" s="154">
        <f>U37-V37</f>
        <v>1299645</v>
      </c>
      <c r="X37" s="197"/>
      <c r="Y37" s="82"/>
      <c r="Z37" s="198">
        <v>5967767.25</v>
      </c>
      <c r="AA37" s="82"/>
      <c r="AB37" s="198">
        <v>5967767.25</v>
      </c>
      <c r="AC37" s="82">
        <v>165771.3125</v>
      </c>
      <c r="AD37" s="154">
        <f>AB37-AC37</f>
        <v>5801995.9375</v>
      </c>
      <c r="AE37" s="57"/>
      <c r="AF37" s="175">
        <v>5801995.9375</v>
      </c>
      <c r="AG37" s="173" t="s">
        <v>102</v>
      </c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18"/>
      <c r="BR37" s="68"/>
      <c r="BS37" s="68"/>
      <c r="BT37" s="68"/>
      <c r="BU37" s="68"/>
      <c r="BV37" s="68"/>
      <c r="BW37" s="68"/>
      <c r="BX37" s="68"/>
      <c r="BY37" s="68"/>
    </row>
    <row r="38" spans="1:78" ht="11.25" customHeight="1" x14ac:dyDescent="0.15">
      <c r="A38" s="58"/>
      <c r="B38" s="151"/>
      <c r="C38" s="199"/>
      <c r="D38" s="80"/>
      <c r="E38" s="80"/>
      <c r="F38" s="80"/>
      <c r="G38" s="99"/>
      <c r="H38" s="99"/>
      <c r="I38" s="99"/>
      <c r="J38" s="99"/>
      <c r="K38" s="96"/>
      <c r="L38" s="99"/>
      <c r="M38" s="96"/>
      <c r="N38" s="97"/>
      <c r="O38" s="98"/>
      <c r="P38" s="99"/>
      <c r="Q38" s="79"/>
      <c r="R38" s="52"/>
      <c r="S38" s="154"/>
      <c r="T38" s="99"/>
      <c r="U38" s="154"/>
      <c r="V38" s="99"/>
      <c r="W38" s="154"/>
      <c r="X38" s="197"/>
      <c r="Y38" s="82"/>
      <c r="Z38" s="198"/>
      <c r="AA38" s="82"/>
      <c r="AB38" s="198"/>
      <c r="AC38" s="82"/>
      <c r="AD38" s="154"/>
      <c r="AE38" s="57"/>
      <c r="AF38" s="175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18"/>
      <c r="BR38" s="68"/>
      <c r="BS38" s="68"/>
      <c r="BT38" s="68"/>
      <c r="BU38" s="68"/>
      <c r="BV38" s="68"/>
      <c r="BW38" s="68"/>
      <c r="BX38" s="68"/>
      <c r="BY38" s="68"/>
    </row>
    <row r="39" spans="1:78" ht="11.25" customHeight="1" x14ac:dyDescent="0.15">
      <c r="A39" s="58"/>
      <c r="B39" s="261" t="s">
        <v>129</v>
      </c>
      <c r="C39" s="261"/>
      <c r="D39" s="80"/>
      <c r="E39" s="80"/>
      <c r="F39" s="80"/>
      <c r="G39" s="99"/>
      <c r="H39" s="99"/>
      <c r="I39" s="99"/>
      <c r="J39" s="99"/>
      <c r="K39" s="96"/>
      <c r="L39" s="99"/>
      <c r="M39" s="96"/>
      <c r="N39" s="97"/>
      <c r="O39" s="98"/>
      <c r="P39" s="99"/>
      <c r="Q39" s="79"/>
      <c r="R39" s="52"/>
      <c r="S39" s="154"/>
      <c r="T39" s="99"/>
      <c r="U39" s="154"/>
      <c r="V39" s="99"/>
      <c r="W39" s="154"/>
      <c r="X39" s="197"/>
      <c r="Y39" s="82"/>
      <c r="Z39" s="198"/>
      <c r="AA39" s="82"/>
      <c r="AB39" s="198"/>
      <c r="AC39" s="82"/>
      <c r="AD39" s="154"/>
      <c r="AE39" s="57"/>
      <c r="AF39" s="175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18"/>
      <c r="BR39" s="68"/>
      <c r="BS39" s="68"/>
      <c r="BT39" s="68"/>
      <c r="BU39" s="68"/>
      <c r="BV39" s="68"/>
      <c r="BW39" s="68"/>
      <c r="BX39" s="68"/>
      <c r="BY39" s="68"/>
    </row>
    <row r="40" spans="1:78" s="15" customFormat="1" ht="19.350000000000001" customHeight="1" x14ac:dyDescent="0.15">
      <c r="A40" s="234" t="s">
        <v>38</v>
      </c>
      <c r="B40" s="235" t="s">
        <v>126</v>
      </c>
      <c r="C40" s="232">
        <v>7352734.0499999998</v>
      </c>
      <c r="D40" s="56">
        <v>44900</v>
      </c>
      <c r="E40" s="56">
        <v>48187</v>
      </c>
      <c r="F40" s="57">
        <v>5250000</v>
      </c>
      <c r="G40" s="57">
        <v>0</v>
      </c>
      <c r="H40" s="57">
        <f>F40-G40</f>
        <v>5250000</v>
      </c>
      <c r="I40" s="57">
        <v>750000</v>
      </c>
      <c r="J40" s="57">
        <f>H40-I40</f>
        <v>4500000</v>
      </c>
      <c r="K40" s="57">
        <v>750000</v>
      </c>
      <c r="L40" s="57">
        <v>0</v>
      </c>
      <c r="M40" s="167">
        <v>93660</v>
      </c>
      <c r="N40" s="168">
        <v>39200</v>
      </c>
      <c r="O40" s="82"/>
      <c r="P40" s="87"/>
      <c r="Q40" s="49" t="s">
        <v>16</v>
      </c>
      <c r="R40" s="57">
        <f>J40-K40</f>
        <v>3750000</v>
      </c>
      <c r="S40" s="57">
        <v>750000</v>
      </c>
      <c r="T40" s="57">
        <f>R40-S40</f>
        <v>3000000</v>
      </c>
      <c r="U40" s="57">
        <v>750000</v>
      </c>
      <c r="V40" s="57">
        <f>T40-U40</f>
        <v>2250000</v>
      </c>
      <c r="W40" s="57">
        <v>0</v>
      </c>
      <c r="X40" s="57">
        <f>V40-W40</f>
        <v>2250000</v>
      </c>
      <c r="Y40" s="182">
        <v>750000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57">
        <v>7352734.0499999998</v>
      </c>
      <c r="BF40" s="57">
        <v>0</v>
      </c>
      <c r="BG40" s="57"/>
      <c r="BH40" s="57">
        <f>BE40-BF40</f>
        <v>7352734.0499999998</v>
      </c>
      <c r="BI40" s="57"/>
      <c r="BJ40" s="57">
        <f>BH40-BI40</f>
        <v>7352734.0499999998</v>
      </c>
      <c r="BK40" s="57">
        <f>BH40/32*4</f>
        <v>919091.75624999998</v>
      </c>
      <c r="BL40" s="57">
        <f>BJ40-BK40</f>
        <v>6433642.2937500002</v>
      </c>
      <c r="BM40" s="57">
        <v>919091.75624999998</v>
      </c>
      <c r="BN40" s="57">
        <f>BL40-BM40</f>
        <v>5514550.5375000006</v>
      </c>
      <c r="BO40" s="57">
        <v>919091.75624999998</v>
      </c>
      <c r="BP40" s="57">
        <f>BN40-BO40</f>
        <v>4595458.7812500009</v>
      </c>
      <c r="BQ40" s="117">
        <v>919091.75624999998</v>
      </c>
      <c r="BR40" s="57">
        <f>BP40-BQ40</f>
        <v>3676367.0250000008</v>
      </c>
      <c r="BS40" s="57">
        <v>919091.75624999998</v>
      </c>
      <c r="BT40" s="57">
        <f>BR40-BS40</f>
        <v>2757275.2687500007</v>
      </c>
      <c r="BU40" s="57">
        <v>919091.75624999998</v>
      </c>
      <c r="BV40" s="57">
        <f>BT40-BU40</f>
        <v>1838183.5125000007</v>
      </c>
      <c r="BW40" s="57">
        <v>919091.75624999998</v>
      </c>
      <c r="BX40" s="57">
        <f>BV40-BW40</f>
        <v>919091.75625000068</v>
      </c>
      <c r="BY40" s="175">
        <f>BX40</f>
        <v>919091.75625000068</v>
      </c>
      <c r="BZ40" s="16"/>
    </row>
    <row r="41" spans="1:78" s="15" customFormat="1" ht="10.7" customHeight="1" x14ac:dyDescent="0.15">
      <c r="A41" s="234"/>
      <c r="B41" s="261" t="s">
        <v>67</v>
      </c>
      <c r="C41" s="261"/>
      <c r="D41" s="56"/>
      <c r="E41" s="56"/>
      <c r="F41" s="57"/>
      <c r="G41" s="57"/>
      <c r="H41" s="57"/>
      <c r="I41" s="57"/>
      <c r="J41" s="57"/>
      <c r="K41" s="57"/>
      <c r="L41" s="57"/>
      <c r="M41" s="167"/>
      <c r="N41" s="168"/>
      <c r="O41" s="82"/>
      <c r="P41" s="87"/>
      <c r="Q41" s="49"/>
      <c r="R41" s="57"/>
      <c r="S41" s="57"/>
      <c r="T41" s="57"/>
      <c r="U41" s="57"/>
      <c r="V41" s="57"/>
      <c r="W41" s="57"/>
      <c r="X41" s="57"/>
      <c r="Y41" s="182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117"/>
      <c r="BR41" s="57"/>
      <c r="BS41" s="57"/>
      <c r="BT41" s="57"/>
      <c r="BU41" s="57"/>
      <c r="BV41" s="57"/>
      <c r="BW41" s="57"/>
      <c r="BX41" s="57"/>
      <c r="BY41" s="175"/>
      <c r="BZ41" s="16"/>
    </row>
    <row r="42" spans="1:78" s="15" customFormat="1" ht="19.350000000000001" customHeight="1" x14ac:dyDescent="0.15">
      <c r="A42" s="236" t="s">
        <v>38</v>
      </c>
      <c r="B42" s="237" t="s">
        <v>127</v>
      </c>
      <c r="C42" s="162">
        <v>7339094.3799999999</v>
      </c>
      <c r="D42" s="56">
        <v>44890</v>
      </c>
      <c r="E42" s="56">
        <v>48207</v>
      </c>
      <c r="F42" s="57">
        <v>5250000</v>
      </c>
      <c r="G42" s="57">
        <v>0</v>
      </c>
      <c r="H42" s="57">
        <f>F42-G42</f>
        <v>5250000</v>
      </c>
      <c r="I42" s="57">
        <v>750000</v>
      </c>
      <c r="J42" s="57">
        <f>H42-I42</f>
        <v>4500000</v>
      </c>
      <c r="K42" s="57">
        <v>750000</v>
      </c>
      <c r="L42" s="57">
        <v>0</v>
      </c>
      <c r="M42" s="167">
        <v>93660</v>
      </c>
      <c r="N42" s="168">
        <v>39200</v>
      </c>
      <c r="O42" s="82"/>
      <c r="P42" s="87"/>
      <c r="Q42" s="49" t="s">
        <v>16</v>
      </c>
      <c r="R42" s="57">
        <f>J42-K42</f>
        <v>3750000</v>
      </c>
      <c r="S42" s="57">
        <v>750000</v>
      </c>
      <c r="T42" s="57">
        <f>R42-S42</f>
        <v>3000000</v>
      </c>
      <c r="U42" s="57">
        <v>750000</v>
      </c>
      <c r="V42" s="57">
        <f>T42-U42</f>
        <v>2250000</v>
      </c>
      <c r="W42" s="57">
        <v>0</v>
      </c>
      <c r="X42" s="57">
        <f>V42-W42</f>
        <v>2250000</v>
      </c>
      <c r="Y42" s="182">
        <v>750000</v>
      </c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57">
        <v>7339094.3799999999</v>
      </c>
      <c r="BF42" s="57">
        <v>0</v>
      </c>
      <c r="BG42" s="57"/>
      <c r="BH42" s="57">
        <f>BE42-BF42</f>
        <v>7339094.3799999999</v>
      </c>
      <c r="BI42" s="57"/>
      <c r="BJ42" s="57">
        <f>BH42-BI42</f>
        <v>7339094.3799999999</v>
      </c>
      <c r="BK42" s="57">
        <f>BH42/32*4</f>
        <v>917386.79749999999</v>
      </c>
      <c r="BL42" s="57">
        <f>BJ42-BK42</f>
        <v>6421707.5824999996</v>
      </c>
      <c r="BM42" s="57">
        <v>919091.75624999998</v>
      </c>
      <c r="BN42" s="57">
        <f>BL42-BM42</f>
        <v>5502615.8262499999</v>
      </c>
      <c r="BO42" s="57">
        <v>919091.75624999998</v>
      </c>
      <c r="BP42" s="57">
        <f>BN42-BO42</f>
        <v>4583524.07</v>
      </c>
      <c r="BQ42" s="117">
        <v>919091.75624999998</v>
      </c>
      <c r="BR42" s="57">
        <f>BP42-BQ42</f>
        <v>3664432.3137500002</v>
      </c>
      <c r="BS42" s="57">
        <v>919091.75624999998</v>
      </c>
      <c r="BT42" s="57">
        <f>BR42-BS42</f>
        <v>2745340.5575000001</v>
      </c>
      <c r="BU42" s="57">
        <v>919091.75624999998</v>
      </c>
      <c r="BV42" s="57">
        <f>BT42-BU42</f>
        <v>1826248.80125</v>
      </c>
      <c r="BW42" s="57">
        <v>919091.75624999998</v>
      </c>
      <c r="BX42" s="57">
        <f>BV42-BW42</f>
        <v>907157.04500000004</v>
      </c>
      <c r="BY42" s="175">
        <f>BX42</f>
        <v>907157.04500000004</v>
      </c>
      <c r="BZ42" s="16"/>
    </row>
    <row r="43" spans="1:78" s="15" customFormat="1" ht="14.45" customHeight="1" x14ac:dyDescent="0.15">
      <c r="A43" s="261" t="s">
        <v>80</v>
      </c>
      <c r="B43" s="261"/>
      <c r="C43" s="238"/>
      <c r="D43" s="56"/>
      <c r="E43" s="57"/>
      <c r="F43" s="57"/>
      <c r="G43" s="57"/>
      <c r="H43" s="78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49"/>
      <c r="U43" s="57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82"/>
      <c r="AM43" s="49"/>
      <c r="AN43" s="82"/>
      <c r="AO43" s="49"/>
      <c r="AP43" s="82"/>
      <c r="AQ43" s="49"/>
      <c r="AR43" s="82"/>
      <c r="AS43" s="49"/>
      <c r="AT43" s="82"/>
      <c r="AU43" s="49"/>
      <c r="AV43" s="82"/>
      <c r="AW43" s="49"/>
      <c r="AX43" s="82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114"/>
      <c r="BR43" s="49"/>
      <c r="BS43" s="49"/>
      <c r="BT43" s="49"/>
      <c r="BU43" s="49"/>
      <c r="BV43" s="49"/>
      <c r="BW43" s="49"/>
      <c r="BX43" s="49"/>
      <c r="BY43" s="49"/>
    </row>
    <row r="44" spans="1:78" ht="18.600000000000001" customHeight="1" x14ac:dyDescent="0.15">
      <c r="A44" s="239"/>
      <c r="B44" s="240" t="s">
        <v>153</v>
      </c>
      <c r="C44" s="109" t="s">
        <v>81</v>
      </c>
      <c r="D44" s="80">
        <v>35323</v>
      </c>
      <c r="E44" s="80">
        <v>44089</v>
      </c>
      <c r="F44" s="99">
        <v>4719927.3496568222</v>
      </c>
      <c r="G44" s="96">
        <v>236406.90322503095</v>
      </c>
      <c r="H44" s="99">
        <f>F44-G44</f>
        <v>4483520.4464317914</v>
      </c>
      <c r="I44" s="99">
        <f>44445590/166.386</f>
        <v>267123.3757647879</v>
      </c>
      <c r="J44" s="96">
        <f>H44-I44</f>
        <v>4216397.0706670033</v>
      </c>
      <c r="K44" s="96">
        <f>49937683/166.386</f>
        <v>300131.51947880234</v>
      </c>
      <c r="L44" s="96">
        <v>0</v>
      </c>
      <c r="M44" s="96">
        <v>472403.27311192045</v>
      </c>
      <c r="N44" s="96">
        <v>39340</v>
      </c>
      <c r="O44" s="96"/>
      <c r="P44" s="96"/>
      <c r="Q44" s="96" t="s">
        <v>14</v>
      </c>
      <c r="R44" s="154">
        <f>J44-K44</f>
        <v>3916265.5511882007</v>
      </c>
      <c r="S44" s="96">
        <f>55835174/166.386</f>
        <v>335576.15424374648</v>
      </c>
      <c r="T44" s="154">
        <f>R44-S44</f>
        <v>3580689.3969444544</v>
      </c>
      <c r="U44" s="96">
        <f>62163563/166.386</f>
        <v>373610.53814623825</v>
      </c>
      <c r="V44" s="154">
        <f>T44-U44</f>
        <v>3207078.8587982161</v>
      </c>
      <c r="W44" s="96">
        <v>414396.87</v>
      </c>
      <c r="X44" s="171">
        <f>V44-W44</f>
        <v>2792681.988798216</v>
      </c>
      <c r="Y44" s="202">
        <v>458106.74</v>
      </c>
      <c r="Z44" s="171">
        <f>X44-Y44</f>
        <v>2334575.2487982158</v>
      </c>
      <c r="AA44" s="96">
        <v>504921.71</v>
      </c>
      <c r="AB44" s="251" t="s">
        <v>119</v>
      </c>
      <c r="AC44" s="251"/>
      <c r="AD44" s="251"/>
      <c r="AE44" s="251"/>
      <c r="AF44" s="159">
        <v>0</v>
      </c>
      <c r="AG44" s="159">
        <f>AD44-AF44</f>
        <v>0</v>
      </c>
      <c r="AH44" s="159"/>
      <c r="AI44" s="159">
        <v>0</v>
      </c>
      <c r="AJ44" s="159">
        <f>AG44-AI44</f>
        <v>0</v>
      </c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16"/>
      <c r="BR44" s="55"/>
      <c r="BS44" s="55"/>
      <c r="BT44" s="55"/>
      <c r="BU44" s="55"/>
      <c r="BV44" s="55"/>
      <c r="BW44" s="55"/>
      <c r="BX44" s="55"/>
      <c r="BY44" s="55"/>
    </row>
    <row r="45" spans="1:78" ht="12.75" customHeight="1" x14ac:dyDescent="0.15">
      <c r="A45" s="59"/>
      <c r="B45" s="241"/>
      <c r="C45" s="242"/>
      <c r="D45" s="80"/>
      <c r="E45" s="80"/>
      <c r="F45" s="99"/>
      <c r="G45" s="96"/>
      <c r="H45" s="99"/>
      <c r="I45" s="99"/>
      <c r="J45" s="96"/>
      <c r="K45" s="96"/>
      <c r="L45" s="96"/>
      <c r="M45" s="96"/>
      <c r="N45" s="96"/>
      <c r="O45" s="96"/>
      <c r="P45" s="96"/>
      <c r="Q45" s="96"/>
      <c r="R45" s="154"/>
      <c r="S45" s="96"/>
      <c r="T45" s="154"/>
      <c r="U45" s="96"/>
      <c r="V45" s="154"/>
      <c r="W45" s="96"/>
      <c r="X45" s="171"/>
      <c r="Y45" s="202"/>
      <c r="Z45" s="171"/>
      <c r="AA45" s="203">
        <v>1829653.5387982158</v>
      </c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16"/>
      <c r="BR45" s="55"/>
      <c r="BS45" s="55"/>
      <c r="BT45" s="55"/>
      <c r="BU45" s="55"/>
      <c r="BV45" s="55"/>
      <c r="BW45" s="55"/>
      <c r="BX45" s="55"/>
      <c r="BY45" s="55"/>
    </row>
    <row r="46" spans="1:78" ht="13.5" customHeight="1" x14ac:dyDescent="0.15">
      <c r="A46" s="77"/>
      <c r="B46" s="241" t="s">
        <v>154</v>
      </c>
      <c r="C46" s="152">
        <v>1031069.39</v>
      </c>
      <c r="D46" s="80">
        <v>35323</v>
      </c>
      <c r="E46" s="80">
        <v>44089</v>
      </c>
      <c r="F46" s="96">
        <v>607671.57092543843</v>
      </c>
      <c r="G46" s="99">
        <v>42773.328284831659</v>
      </c>
      <c r="H46" s="96">
        <f>F46-G46</f>
        <v>564898.24264060683</v>
      </c>
      <c r="I46" s="96">
        <f>7472727/166.386</f>
        <v>44911.993797555086</v>
      </c>
      <c r="J46" s="96">
        <f>H46-I46</f>
        <v>519986.24884305173</v>
      </c>
      <c r="K46" s="96">
        <f>7846363/166.386</f>
        <v>47157.591383890474</v>
      </c>
      <c r="L46" s="96">
        <v>0</v>
      </c>
      <c r="M46" s="96">
        <v>73156.906230091481</v>
      </c>
      <c r="N46" s="96">
        <v>39340</v>
      </c>
      <c r="O46" s="96"/>
      <c r="P46" s="96"/>
      <c r="Q46" s="96" t="s">
        <v>14</v>
      </c>
      <c r="R46" s="154">
        <f>J46-K46</f>
        <v>472828.65745916124</v>
      </c>
      <c r="S46" s="96">
        <f>8238682/166.386</f>
        <v>49515.476061687885</v>
      </c>
      <c r="T46" s="154">
        <f>R46-S46</f>
        <v>423313.18139747338</v>
      </c>
      <c r="U46" s="96">
        <f>8650616/166.386</f>
        <v>51991.249263760175</v>
      </c>
      <c r="V46" s="154">
        <f>T46-U46</f>
        <v>371321.93213371321</v>
      </c>
      <c r="W46" s="96">
        <v>54590.81</v>
      </c>
      <c r="X46" s="154">
        <f>V46-W46</f>
        <v>316731.12213371322</v>
      </c>
      <c r="Y46" s="202">
        <v>57320.35</v>
      </c>
      <c r="Z46" s="154">
        <f>X46-Y46</f>
        <v>259410.77213371321</v>
      </c>
      <c r="AA46" s="96">
        <v>60186.37</v>
      </c>
      <c r="AB46" s="251" t="s">
        <v>119</v>
      </c>
      <c r="AC46" s="251"/>
      <c r="AD46" s="251"/>
      <c r="AE46" s="251"/>
      <c r="AF46" s="159">
        <v>0</v>
      </c>
      <c r="AG46" s="159">
        <f>AD46-AF46</f>
        <v>0</v>
      </c>
      <c r="AH46" s="159"/>
      <c r="AI46" s="159">
        <v>0</v>
      </c>
      <c r="AJ46" s="159">
        <f>AG46-AI46</f>
        <v>0</v>
      </c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16"/>
      <c r="BR46" s="55"/>
      <c r="BS46" s="55"/>
      <c r="BT46" s="55"/>
      <c r="BU46" s="55"/>
      <c r="BV46" s="55"/>
      <c r="BW46" s="55"/>
      <c r="BX46" s="55"/>
      <c r="BY46" s="55"/>
    </row>
    <row r="47" spans="1:78" ht="12.6" customHeight="1" x14ac:dyDescent="0.15">
      <c r="A47" s="58"/>
      <c r="B47" s="200"/>
      <c r="C47" s="162"/>
      <c r="D47" s="56"/>
      <c r="E47" s="56"/>
      <c r="F47" s="57"/>
      <c r="G47" s="82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9"/>
      <c r="Z47" s="57"/>
      <c r="AA47" s="157">
        <v>199224.40213371321</v>
      </c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16"/>
      <c r="BR47" s="55"/>
      <c r="BS47" s="55"/>
      <c r="BT47" s="55"/>
      <c r="BU47" s="55"/>
      <c r="BV47" s="55"/>
      <c r="BW47" s="55"/>
      <c r="BX47" s="55"/>
      <c r="BY47" s="55"/>
    </row>
    <row r="48" spans="1:78" s="29" customFormat="1" ht="14.1" customHeight="1" x14ac:dyDescent="0.2">
      <c r="A48" s="83"/>
      <c r="B48" s="84" t="s">
        <v>59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5"/>
      <c r="BI48" s="85"/>
      <c r="BJ48" s="85"/>
      <c r="BK48" s="85"/>
      <c r="BL48" s="85"/>
      <c r="BM48" s="85"/>
      <c r="BN48" s="85"/>
      <c r="BO48" s="85"/>
      <c r="BP48" s="85"/>
      <c r="BQ48" s="124"/>
      <c r="BR48" s="85"/>
      <c r="BS48" s="85"/>
      <c r="BT48" s="85"/>
      <c r="BU48" s="85"/>
      <c r="BV48" s="85"/>
      <c r="BW48" s="85"/>
      <c r="BX48" s="85"/>
      <c r="BY48" s="85"/>
    </row>
    <row r="49" spans="1:1171" ht="12.6" customHeight="1" x14ac:dyDescent="0.15">
      <c r="A49" s="58"/>
      <c r="B49" s="188" t="s">
        <v>39</v>
      </c>
      <c r="C49" s="243">
        <v>1641884</v>
      </c>
      <c r="D49" s="205">
        <v>40379</v>
      </c>
      <c r="E49" s="206">
        <v>42205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86"/>
      <c r="S49" s="79"/>
      <c r="T49" s="207">
        <v>656753.65</v>
      </c>
      <c r="U49" s="208">
        <v>328377</v>
      </c>
      <c r="V49" s="209">
        <v>328377</v>
      </c>
      <c r="W49" s="210">
        <v>328377</v>
      </c>
      <c r="X49" s="86">
        <v>0</v>
      </c>
      <c r="Y49" s="79"/>
      <c r="Z49" s="86"/>
      <c r="AA49" s="79"/>
      <c r="AB49" s="251" t="s">
        <v>120</v>
      </c>
      <c r="AC49" s="251"/>
      <c r="AD49" s="251"/>
      <c r="AE49" s="251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125"/>
      <c r="BR49" s="87"/>
      <c r="BS49" s="87"/>
      <c r="BT49" s="87"/>
      <c r="BU49" s="87"/>
      <c r="BV49" s="87"/>
      <c r="BW49" s="87"/>
      <c r="BX49" s="87"/>
      <c r="BY49" s="87"/>
    </row>
    <row r="50" spans="1:1171" ht="12" customHeight="1" x14ac:dyDescent="0.15">
      <c r="A50" s="37" t="s">
        <v>32</v>
      </c>
      <c r="B50" s="188" t="s">
        <v>40</v>
      </c>
      <c r="C50" s="243">
        <v>7276731.7199999997</v>
      </c>
      <c r="D50" s="205">
        <v>40745</v>
      </c>
      <c r="E50" s="206">
        <v>42572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86"/>
      <c r="S50" s="79"/>
      <c r="T50" s="207">
        <v>4366039.09</v>
      </c>
      <c r="U50" s="208">
        <v>1455346.09</v>
      </c>
      <c r="V50" s="209">
        <v>2910693</v>
      </c>
      <c r="W50" s="208">
        <v>1455346.09</v>
      </c>
      <c r="X50" s="211">
        <f>V50-W50</f>
        <v>1455346.91</v>
      </c>
      <c r="Y50" s="212">
        <v>1455346.44</v>
      </c>
      <c r="Z50" s="86">
        <v>0</v>
      </c>
      <c r="AA50" s="79"/>
      <c r="AB50" s="251" t="s">
        <v>121</v>
      </c>
      <c r="AC50" s="251"/>
      <c r="AD50" s="251"/>
      <c r="AE50" s="251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125"/>
      <c r="BR50" s="87"/>
      <c r="BS50" s="87"/>
      <c r="BT50" s="87"/>
      <c r="BU50" s="87"/>
      <c r="BV50" s="87"/>
      <c r="BW50" s="87"/>
      <c r="BX50" s="87"/>
      <c r="BY50" s="87"/>
    </row>
    <row r="51" spans="1:1171" ht="12.75" customHeight="1" x14ac:dyDescent="0.15">
      <c r="A51" s="37"/>
      <c r="B51" s="188" t="s">
        <v>65</v>
      </c>
      <c r="C51" s="243">
        <v>937372.98</v>
      </c>
      <c r="D51" s="205">
        <v>42370</v>
      </c>
      <c r="E51" s="205">
        <v>46023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6"/>
      <c r="S51" s="79"/>
      <c r="T51" s="207">
        <v>4366039.09</v>
      </c>
      <c r="U51" s="208">
        <v>1455346.09</v>
      </c>
      <c r="V51" s="209">
        <v>2910693</v>
      </c>
      <c r="W51" s="208">
        <v>1455346.09</v>
      </c>
      <c r="X51" s="211">
        <v>937372.98</v>
      </c>
      <c r="Y51" s="213">
        <v>937372.98</v>
      </c>
      <c r="Z51" s="211">
        <f>X51-Y51</f>
        <v>0</v>
      </c>
      <c r="AA51" s="213"/>
      <c r="AB51" s="214"/>
      <c r="AC51" s="213"/>
      <c r="AD51" s="214"/>
      <c r="AE51" s="214"/>
      <c r="AF51" s="213"/>
      <c r="AG51" s="214"/>
      <c r="AH51" s="214"/>
      <c r="AI51" s="213"/>
      <c r="AJ51" s="214"/>
      <c r="AK51" s="213"/>
      <c r="AL51" s="214"/>
      <c r="AM51" s="213"/>
      <c r="AN51" s="214"/>
      <c r="AO51" s="213"/>
      <c r="AP51" s="214"/>
      <c r="AQ51" s="213"/>
      <c r="AR51" s="214"/>
      <c r="AS51" s="213"/>
      <c r="AT51" s="214"/>
      <c r="AU51" s="213"/>
      <c r="AV51" s="214"/>
      <c r="AW51" s="213"/>
      <c r="AX51" s="214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5"/>
      <c r="BR51" s="213"/>
      <c r="BS51" s="213"/>
      <c r="BT51" s="213"/>
      <c r="BU51" s="213"/>
      <c r="BV51" s="213"/>
      <c r="BW51" s="213"/>
      <c r="BX51" s="213"/>
      <c r="BY51" s="213"/>
    </row>
    <row r="52" spans="1:1171" ht="12.75" customHeight="1" x14ac:dyDescent="0.15">
      <c r="A52" s="37"/>
      <c r="B52" s="188" t="s">
        <v>130</v>
      </c>
      <c r="C52" s="243">
        <v>3262322.2</v>
      </c>
      <c r="D52" s="205">
        <v>44760</v>
      </c>
      <c r="E52" s="205">
        <v>45491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86"/>
      <c r="S52" s="79"/>
      <c r="T52" s="207">
        <v>4366039.09</v>
      </c>
      <c r="U52" s="208">
        <v>1455346.09</v>
      </c>
      <c r="V52" s="209">
        <v>2910693</v>
      </c>
      <c r="W52" s="208">
        <v>1455346.09</v>
      </c>
      <c r="X52" s="211">
        <v>937372.98</v>
      </c>
      <c r="Y52" s="213">
        <v>937372.98</v>
      </c>
      <c r="Z52" s="211">
        <f>X52-Y52</f>
        <v>0</v>
      </c>
      <c r="AA52" s="213"/>
      <c r="AB52" s="214"/>
      <c r="AC52" s="213"/>
      <c r="AD52" s="214"/>
      <c r="AE52" s="214"/>
      <c r="AF52" s="213"/>
      <c r="AG52" s="214"/>
      <c r="AH52" s="214"/>
      <c r="AI52" s="213"/>
      <c r="AJ52" s="214"/>
      <c r="AK52" s="213"/>
      <c r="AL52" s="214"/>
      <c r="AM52" s="213"/>
      <c r="AN52" s="214"/>
      <c r="AO52" s="213"/>
      <c r="AP52" s="214"/>
      <c r="AQ52" s="213"/>
      <c r="AR52" s="214"/>
      <c r="AS52" s="213"/>
      <c r="AT52" s="214"/>
      <c r="AU52" s="213"/>
      <c r="AV52" s="214"/>
      <c r="AW52" s="213"/>
      <c r="AX52" s="214"/>
      <c r="AY52" s="213"/>
      <c r="AZ52" s="213"/>
      <c r="BA52" s="213"/>
      <c r="BB52" s="213"/>
      <c r="BC52" s="213"/>
      <c r="BD52" s="213"/>
      <c r="BE52" s="57">
        <v>3262321.68</v>
      </c>
      <c r="BF52" s="57">
        <v>475273.77</v>
      </c>
      <c r="BG52" s="58"/>
      <c r="BH52" s="213">
        <f>BE52-BF52</f>
        <v>2787047.91</v>
      </c>
      <c r="BI52" s="213">
        <f>1940529.78</f>
        <v>1940529.78</v>
      </c>
      <c r="BJ52" s="213">
        <f>BH52-BI52</f>
        <v>846518.13000000012</v>
      </c>
      <c r="BK52" s="175">
        <f>BJ52</f>
        <v>846518.13000000012</v>
      </c>
      <c r="BL52" s="213"/>
      <c r="BM52" s="213"/>
      <c r="BN52" s="213"/>
      <c r="BO52" s="213"/>
      <c r="BP52" s="213"/>
      <c r="BQ52" s="215"/>
      <c r="BR52" s="213"/>
      <c r="BS52" s="213"/>
      <c r="BT52" s="213"/>
      <c r="BU52" s="213"/>
      <c r="BV52" s="213"/>
      <c r="BW52" s="213"/>
      <c r="BX52" s="213"/>
      <c r="BY52" s="108" t="s">
        <v>29</v>
      </c>
    </row>
    <row r="53" spans="1:1171" ht="10.35" customHeight="1" x14ac:dyDescent="0.15">
      <c r="A53" s="88"/>
      <c r="B53" s="270" t="s">
        <v>155</v>
      </c>
      <c r="C53" s="216">
        <f>SUM(C5:C46)</f>
        <v>120874739.91999999</v>
      </c>
      <c r="D53" s="217"/>
      <c r="E53" s="217"/>
      <c r="F53" s="218">
        <f t="shared" ref="F53:L53" si="0">SUM(F5:F46)</f>
        <v>88691923.230582267</v>
      </c>
      <c r="G53" s="218">
        <f t="shared" si="0"/>
        <v>15339917.041509863</v>
      </c>
      <c r="H53" s="218">
        <f t="shared" si="0"/>
        <v>81064048.189072385</v>
      </c>
      <c r="I53" s="218">
        <f t="shared" si="0"/>
        <v>18671381.539562345</v>
      </c>
      <c r="J53" s="218" t="e">
        <f t="shared" si="0"/>
        <v>#REF!</v>
      </c>
      <c r="K53" s="218">
        <f t="shared" si="0"/>
        <v>18357911.420862693</v>
      </c>
      <c r="L53" s="218">
        <f t="shared" si="0"/>
        <v>866430</v>
      </c>
      <c r="M53" s="267" t="e">
        <f>+#REF!+(O5*4)+O10*2+#REF!*4</f>
        <v>#REF!</v>
      </c>
      <c r="N53" s="268"/>
      <c r="O53" s="268"/>
      <c r="P53" s="86"/>
      <c r="Q53" s="91"/>
      <c r="R53" s="219">
        <f>SUM(R5:R48)</f>
        <v>53700430.148647361</v>
      </c>
      <c r="S53" s="220">
        <f>SUM(S5:S48)</f>
        <v>17493538.615305431</v>
      </c>
      <c r="T53" s="218">
        <f>SUM(T5:T48)</f>
        <v>41405471.533341929</v>
      </c>
      <c r="U53" s="220">
        <f>SUM(U5:U48)</f>
        <v>12336732.422409998</v>
      </c>
      <c r="V53" s="221" t="e">
        <f>SUM(V6:V48)</f>
        <v>#REF!</v>
      </c>
      <c r="W53" s="220">
        <f>SUM(W6:W46)</f>
        <v>5692336.8999999994</v>
      </c>
      <c r="X53" s="222">
        <f>SUM(X6+X11+X31+X32+X44+X46)</f>
        <v>13498039.25093193</v>
      </c>
      <c r="Y53" s="223" t="e">
        <f>SUM(Y6:Y46)-Y6-Y12-#REF!</f>
        <v>#REF!</v>
      </c>
      <c r="Z53" s="224">
        <f>SUM(Z13+Z17+Z28+Z32+Z36+Z44+Z46)</f>
        <v>15233906.01093193</v>
      </c>
      <c r="AA53" s="223">
        <f>SUM(AA6:AA46)</f>
        <v>7074683.3987982161</v>
      </c>
      <c r="AB53" s="224">
        <f>SUM(AB6:AB46)</f>
        <v>16328806.310000001</v>
      </c>
      <c r="AC53" s="223">
        <f>SUM(AC6:AC46)</f>
        <v>5446192.0525000002</v>
      </c>
      <c r="AD53" s="224">
        <f>SUM(AD13:AD37)+AD49+AD50+AD51</f>
        <v>10882614.2575</v>
      </c>
      <c r="AE53" s="224">
        <f>SUM(AE13:AE51)</f>
        <v>1493788.13</v>
      </c>
      <c r="AF53" s="223">
        <f>SUM(AF6:AF46)</f>
        <v>10882614.2575</v>
      </c>
      <c r="AG53" s="224">
        <f>SUM(AG13:AG43)</f>
        <v>1493788.13</v>
      </c>
      <c r="AH53" s="224">
        <v>5285437.55</v>
      </c>
      <c r="AI53" s="223">
        <f>SUM(AI6:AI46)</f>
        <v>1493788.13</v>
      </c>
      <c r="AJ53" s="224">
        <f>SUM(AJ13:AJ43)</f>
        <v>0</v>
      </c>
      <c r="AK53" s="223">
        <f>SUM(AK6:AK46)</f>
        <v>0</v>
      </c>
      <c r="AL53" s="224">
        <f>SUM(AL13:AL43)</f>
        <v>0</v>
      </c>
      <c r="AM53" s="223">
        <f>SUM(AM6:AM46)</f>
        <v>0</v>
      </c>
      <c r="AN53" s="224">
        <f>SUM(AN13:AN43)</f>
        <v>0</v>
      </c>
      <c r="AO53" s="223">
        <f>SUM(AO6:AO46)</f>
        <v>0</v>
      </c>
      <c r="AP53" s="224">
        <f>SUM(AP13:AP43)</f>
        <v>0</v>
      </c>
      <c r="AQ53" s="223">
        <f>SUM(AQ6:AQ46)</f>
        <v>0</v>
      </c>
      <c r="AR53" s="224">
        <f>SUM(AR13:AR43)</f>
        <v>0</v>
      </c>
      <c r="AS53" s="223">
        <f>SUM(AS6:AS46)</f>
        <v>0</v>
      </c>
      <c r="AT53" s="224">
        <f>SUM(AT13:AT43)</f>
        <v>0</v>
      </c>
      <c r="AU53" s="223">
        <f>SUM(AU6:AU46)</f>
        <v>0</v>
      </c>
      <c r="AV53" s="224">
        <f>SUM(AV13:AV43)</f>
        <v>0</v>
      </c>
      <c r="AW53" s="223">
        <f>SUM(AW6:AW46)</f>
        <v>0</v>
      </c>
      <c r="AX53" s="224">
        <f>SUM(AX13:AX43)</f>
        <v>0</v>
      </c>
      <c r="AY53" s="223">
        <f>SUM(AY6:AY46)</f>
        <v>0</v>
      </c>
      <c r="AZ53" s="224">
        <f>AX53-AY53</f>
        <v>0</v>
      </c>
      <c r="BA53" s="223">
        <v>138888.66999999969</v>
      </c>
      <c r="BB53" s="224">
        <f>SUM(BB4:BB43)</f>
        <v>4456273.75</v>
      </c>
      <c r="BC53" s="223">
        <f>SUM(BC4:BC46)</f>
        <v>1114068.45</v>
      </c>
      <c r="BD53" s="224">
        <f>SUM(BD4:BD43)</f>
        <v>0</v>
      </c>
      <c r="BE53" s="224">
        <f>SUM(BE4:BE47)</f>
        <v>30016233.68</v>
      </c>
      <c r="BF53" s="223">
        <f>SUM(BF4:BF46)</f>
        <v>0</v>
      </c>
      <c r="BG53" s="223">
        <f>SUM(BG4:BG46)</f>
        <v>9000000</v>
      </c>
      <c r="BH53" s="224">
        <f>SUM(BH4:BH43)</f>
        <v>21016233.43</v>
      </c>
      <c r="BI53" s="223">
        <f t="shared" ref="BI53:BY53" si="1">SUM(BI4:BI51)</f>
        <v>403359.5625</v>
      </c>
      <c r="BJ53" s="224">
        <f t="shared" si="1"/>
        <v>20612873.8675</v>
      </c>
      <c r="BK53" s="223">
        <f t="shared" si="1"/>
        <v>2643197.6737500001</v>
      </c>
      <c r="BL53" s="224">
        <f t="shared" si="1"/>
        <v>17969676.193750001</v>
      </c>
      <c r="BM53" s="223">
        <f t="shared" si="1"/>
        <v>2644902.6324999998</v>
      </c>
      <c r="BN53" s="224">
        <f t="shared" si="1"/>
        <v>15324773.561249999</v>
      </c>
      <c r="BO53" s="223">
        <f t="shared" si="1"/>
        <v>2644902.6324999998</v>
      </c>
      <c r="BP53" s="224">
        <f t="shared" si="1"/>
        <v>12679870.928750001</v>
      </c>
      <c r="BQ53" s="225">
        <f t="shared" si="1"/>
        <v>2644902.6324999998</v>
      </c>
      <c r="BR53" s="224">
        <f t="shared" si="1"/>
        <v>10034968.296250001</v>
      </c>
      <c r="BS53" s="223">
        <f t="shared" si="1"/>
        <v>2644902.6324999998</v>
      </c>
      <c r="BT53" s="224">
        <f t="shared" si="1"/>
        <v>7390065.6637500003</v>
      </c>
      <c r="BU53" s="223">
        <f t="shared" si="1"/>
        <v>2644902.6324999998</v>
      </c>
      <c r="BV53" s="224">
        <f t="shared" si="1"/>
        <v>4745163.03125</v>
      </c>
      <c r="BW53" s="223">
        <f t="shared" si="1"/>
        <v>2644902.6324999998</v>
      </c>
      <c r="BX53" s="224">
        <f t="shared" si="1"/>
        <v>2100260.3987500002</v>
      </c>
      <c r="BY53" s="223">
        <f t="shared" si="1"/>
        <v>2100260.3987500002</v>
      </c>
    </row>
    <row r="54" spans="1:1171" s="25" customFormat="1" ht="18" customHeight="1" x14ac:dyDescent="0.15">
      <c r="A54" s="88"/>
      <c r="B54" s="270"/>
      <c r="C54" s="38" t="s">
        <v>0</v>
      </c>
      <c r="D54" s="89"/>
      <c r="E54" s="89"/>
      <c r="F54" s="39"/>
      <c r="G54" s="39"/>
      <c r="H54" s="39"/>
      <c r="I54" s="39"/>
      <c r="J54" s="39"/>
      <c r="K54" s="39"/>
      <c r="L54" s="39" t="s">
        <v>3</v>
      </c>
      <c r="M54" s="250" t="s">
        <v>20</v>
      </c>
      <c r="N54" s="250"/>
      <c r="O54" s="250"/>
      <c r="P54" s="226"/>
      <c r="Q54" s="91"/>
      <c r="R54" s="91"/>
      <c r="S54" s="91"/>
      <c r="T54" s="91"/>
      <c r="U54" s="91"/>
      <c r="V54" s="92"/>
      <c r="W54" s="91"/>
      <c r="X54" s="227" t="s">
        <v>69</v>
      </c>
      <c r="Y54" s="228">
        <v>2805954.67</v>
      </c>
      <c r="Z54" s="93"/>
      <c r="AA54" s="93"/>
      <c r="AB54" s="93"/>
      <c r="AC54" s="93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126"/>
      <c r="BR54" s="91"/>
      <c r="BS54" s="91"/>
      <c r="BT54" s="91"/>
      <c r="BU54" s="91"/>
      <c r="BV54" s="91"/>
      <c r="BW54" s="91"/>
      <c r="BX54" s="91"/>
      <c r="BY54" s="91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</row>
    <row r="55" spans="1:1171" ht="12.6" customHeight="1" x14ac:dyDescent="0.15">
      <c r="A55" s="58"/>
      <c r="B55" s="270"/>
      <c r="C55" s="38"/>
      <c r="D55" s="89"/>
      <c r="E55" s="89"/>
      <c r="F55" s="39"/>
      <c r="G55" s="39"/>
      <c r="H55" s="39"/>
      <c r="I55" s="39"/>
      <c r="J55" s="39"/>
      <c r="K55" s="39"/>
      <c r="L55" s="39"/>
      <c r="M55" s="90"/>
      <c r="N55" s="90"/>
      <c r="O55" s="90"/>
      <c r="P55" s="226"/>
      <c r="Q55" s="91"/>
      <c r="R55" s="91"/>
      <c r="S55" s="91"/>
      <c r="T55" s="91"/>
      <c r="U55" s="91"/>
      <c r="V55" s="92"/>
      <c r="W55" s="91"/>
      <c r="X55" s="229" t="s">
        <v>71</v>
      </c>
      <c r="Y55" s="230">
        <v>8254490</v>
      </c>
      <c r="Z55" s="93"/>
      <c r="AA55" s="93"/>
      <c r="AB55" s="93"/>
      <c r="AC55" s="93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126"/>
      <c r="BR55" s="91"/>
      <c r="BS55" s="91"/>
      <c r="BT55" s="91"/>
      <c r="BU55" s="91"/>
      <c r="BV55" s="91"/>
      <c r="BW55" s="91"/>
      <c r="BX55" s="91"/>
      <c r="BY55" s="91"/>
    </row>
    <row r="56" spans="1:1171" s="13" customFormat="1" ht="12" customHeight="1" x14ac:dyDescent="0.15">
      <c r="A56" s="94"/>
      <c r="B56" s="270"/>
      <c r="C56" s="38"/>
      <c r="D56" s="89"/>
      <c r="E56" s="89"/>
      <c r="F56" s="39"/>
      <c r="G56" s="39"/>
      <c r="H56" s="39"/>
      <c r="I56" s="39"/>
      <c r="J56" s="39"/>
      <c r="K56" s="39"/>
      <c r="L56" s="39"/>
      <c r="M56" s="90"/>
      <c r="N56" s="90"/>
      <c r="O56" s="90"/>
      <c r="P56" s="226"/>
      <c r="Q56" s="91"/>
      <c r="R56" s="91"/>
      <c r="S56" s="91"/>
      <c r="T56" s="91"/>
      <c r="U56" s="91"/>
      <c r="V56" s="92"/>
      <c r="W56" s="91"/>
      <c r="X56" s="229" t="s">
        <v>70</v>
      </c>
      <c r="Y56" s="230">
        <v>1828415.61</v>
      </c>
      <c r="Z56" s="93"/>
      <c r="AA56" s="93"/>
      <c r="AB56" s="93"/>
      <c r="AC56" s="93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126"/>
      <c r="BR56" s="91"/>
      <c r="BS56" s="91"/>
      <c r="BT56" s="91"/>
      <c r="BU56" s="91"/>
      <c r="BV56" s="91"/>
      <c r="BW56" s="91"/>
      <c r="BX56" s="91"/>
      <c r="BY56" s="91"/>
    </row>
    <row r="57" spans="1:1171" s="13" customFormat="1" ht="18.75" customHeight="1" x14ac:dyDescent="0.15">
      <c r="A57" s="95"/>
      <c r="B57" s="79"/>
      <c r="C57" s="152"/>
      <c r="D57" s="80"/>
      <c r="E57" s="80"/>
      <c r="F57" s="96"/>
      <c r="G57" s="96"/>
      <c r="H57" s="96"/>
      <c r="I57" s="96"/>
      <c r="J57" s="96"/>
      <c r="K57" s="96"/>
      <c r="L57" s="96"/>
      <c r="M57" s="97"/>
      <c r="N57" s="98"/>
      <c r="O57" s="99"/>
      <c r="P57" s="79"/>
      <c r="Q57" s="52"/>
      <c r="R57" s="91">
        <v>2013</v>
      </c>
      <c r="S57" s="100">
        <v>2013</v>
      </c>
      <c r="T57" s="39">
        <v>2014</v>
      </c>
      <c r="U57" s="100">
        <v>2014</v>
      </c>
      <c r="V57" s="39">
        <v>2015</v>
      </c>
      <c r="W57" s="100">
        <v>2015</v>
      </c>
      <c r="X57" s="39">
        <v>2016</v>
      </c>
      <c r="Y57" s="100">
        <v>2016</v>
      </c>
      <c r="Z57" s="39">
        <v>2017</v>
      </c>
      <c r="AA57" s="100">
        <v>2017</v>
      </c>
      <c r="AB57" s="244">
        <v>2018</v>
      </c>
      <c r="AC57" s="244"/>
      <c r="AD57" s="244">
        <v>2019</v>
      </c>
      <c r="AE57" s="244"/>
      <c r="AF57" s="244"/>
      <c r="AG57" s="244">
        <v>2020</v>
      </c>
      <c r="AH57" s="244"/>
      <c r="AI57" s="244"/>
      <c r="AJ57" s="244">
        <v>2021</v>
      </c>
      <c r="AK57" s="244"/>
      <c r="AL57" s="244">
        <v>2022</v>
      </c>
      <c r="AM57" s="244"/>
      <c r="AN57" s="244">
        <v>2023</v>
      </c>
      <c r="AO57" s="244"/>
      <c r="AP57" s="244">
        <v>2024</v>
      </c>
      <c r="AQ57" s="244"/>
      <c r="AR57" s="244">
        <v>2025</v>
      </c>
      <c r="AS57" s="244"/>
      <c r="AT57" s="244">
        <v>2026</v>
      </c>
      <c r="AU57" s="244"/>
      <c r="AV57" s="244">
        <v>2027</v>
      </c>
      <c r="AW57" s="244"/>
      <c r="AX57" s="244">
        <v>2028</v>
      </c>
      <c r="AY57" s="244"/>
      <c r="AZ57" s="244">
        <v>2029</v>
      </c>
      <c r="BA57" s="244"/>
      <c r="BB57" s="244">
        <v>2021</v>
      </c>
      <c r="BC57" s="244"/>
      <c r="BD57" s="244">
        <v>2022</v>
      </c>
      <c r="BE57" s="244"/>
      <c r="BF57" s="244"/>
      <c r="BG57" s="39"/>
      <c r="BH57" s="244">
        <v>2023</v>
      </c>
      <c r="BI57" s="244"/>
      <c r="BJ57" s="244">
        <v>2024</v>
      </c>
      <c r="BK57" s="244"/>
      <c r="BL57" s="244">
        <v>2025</v>
      </c>
      <c r="BM57" s="244"/>
      <c r="BN57" s="244">
        <v>2026</v>
      </c>
      <c r="BO57" s="244"/>
      <c r="BP57" s="244">
        <v>2027</v>
      </c>
      <c r="BQ57" s="246"/>
      <c r="BR57" s="244">
        <v>2028</v>
      </c>
      <c r="BS57" s="244"/>
      <c r="BT57" s="244">
        <v>2029</v>
      </c>
      <c r="BU57" s="244"/>
      <c r="BV57" s="244">
        <v>2030</v>
      </c>
      <c r="BW57" s="244"/>
      <c r="BX57" s="244">
        <v>2031</v>
      </c>
      <c r="BY57" s="244"/>
    </row>
    <row r="58" spans="1:1171" ht="28.5" customHeight="1" x14ac:dyDescent="0.15">
      <c r="A58" s="101"/>
      <c r="B58" s="138" t="s">
        <v>132</v>
      </c>
      <c r="C58" s="102"/>
      <c r="D58" s="102"/>
      <c r="E58" s="103"/>
      <c r="F58" s="103"/>
      <c r="G58" s="103"/>
      <c r="H58" s="103"/>
      <c r="I58" s="103"/>
      <c r="J58" s="103"/>
      <c r="K58" s="103"/>
      <c r="L58" s="104"/>
      <c r="M58" s="105"/>
      <c r="N58" s="104"/>
      <c r="O58" s="106"/>
      <c r="P58" s="106"/>
      <c r="Q58" s="107"/>
      <c r="R58" s="107"/>
      <c r="S58" s="107"/>
      <c r="T58" s="104">
        <f>SUM(T5:T50)</f>
        <v>46428264.273341924</v>
      </c>
      <c r="U58" s="107"/>
      <c r="V58" s="104" t="e">
        <f>SUM(V5:V50)</f>
        <v>#REF!</v>
      </c>
      <c r="W58" s="107"/>
      <c r="X58" s="139">
        <f>SUM(X50:X53)</f>
        <v>16828132.120931931</v>
      </c>
      <c r="Y58" s="140" t="e">
        <f>SUM(Y50:Y53)</f>
        <v>#REF!</v>
      </c>
      <c r="Z58" s="139">
        <f>SUM(Z50:Z53)</f>
        <v>15233906.01093193</v>
      </c>
      <c r="AA58" s="140">
        <f>SUM(AA6:AA51)</f>
        <v>7273907.8009319296</v>
      </c>
      <c r="AB58" s="104">
        <f>SUM(AB5:AB51)</f>
        <v>16328806.310000001</v>
      </c>
      <c r="AC58" s="140">
        <f>SUM(AC6:AC51)</f>
        <v>5446192.0525000002</v>
      </c>
      <c r="AD58" s="104">
        <f>AD53</f>
        <v>10882614.2575</v>
      </c>
      <c r="AE58" s="104"/>
      <c r="AF58" s="140">
        <f>SUM(AF6:AF51)</f>
        <v>10882614.2575</v>
      </c>
      <c r="AG58" s="104">
        <f>AG53+AH53</f>
        <v>6779225.6799999997</v>
      </c>
      <c r="AH58" s="104"/>
      <c r="AI58" s="140">
        <f>SUM(AI6:AI51)</f>
        <v>1493788.13</v>
      </c>
      <c r="AJ58" s="104">
        <f>AJ53</f>
        <v>0</v>
      </c>
      <c r="AK58" s="140">
        <f>SUM(AK6:AK51)</f>
        <v>0</v>
      </c>
      <c r="AL58" s="104">
        <f>AL53</f>
        <v>0</v>
      </c>
      <c r="AM58" s="140">
        <f>SUM(AM6:AM51)</f>
        <v>0</v>
      </c>
      <c r="AN58" s="104">
        <f>AN53</f>
        <v>0</v>
      </c>
      <c r="AO58" s="140">
        <f>SUM(AO6:AO51)</f>
        <v>0</v>
      </c>
      <c r="AP58" s="104">
        <f>AP53</f>
        <v>0</v>
      </c>
      <c r="AQ58" s="140">
        <f>SUM(AQ6:AQ51)</f>
        <v>0</v>
      </c>
      <c r="AR58" s="104">
        <f>AR53</f>
        <v>0</v>
      </c>
      <c r="AS58" s="140">
        <f>SUM(AS6:AS51)</f>
        <v>0</v>
      </c>
      <c r="AT58" s="104">
        <f>AT53</f>
        <v>0</v>
      </c>
      <c r="AU58" s="140">
        <f>SUM(AU6:AU51)</f>
        <v>0</v>
      </c>
      <c r="AV58" s="104">
        <f>AV53</f>
        <v>0</v>
      </c>
      <c r="AW58" s="140">
        <f>SUM(AW6:AW51)</f>
        <v>0</v>
      </c>
      <c r="AX58" s="104">
        <f>AX53</f>
        <v>0</v>
      </c>
      <c r="AY58" s="140">
        <f>SUM(AY6:AY51)</f>
        <v>0</v>
      </c>
      <c r="AZ58" s="104">
        <f>AX58-AY58</f>
        <v>0</v>
      </c>
      <c r="BA58" s="140">
        <v>138888.67000000001</v>
      </c>
      <c r="BB58" s="104">
        <f>BB53</f>
        <v>4456273.75</v>
      </c>
      <c r="BC58" s="140">
        <f>SUM(BC4:BC51)</f>
        <v>1114068.45</v>
      </c>
      <c r="BD58" s="104">
        <f>BD53</f>
        <v>0</v>
      </c>
      <c r="BE58" s="104">
        <f>BE52+BE53</f>
        <v>33278555.359999999</v>
      </c>
      <c r="BF58" s="140">
        <f>SUM(BF4:BF52)</f>
        <v>475273.77</v>
      </c>
      <c r="BG58" s="140">
        <f>SUM(BG4:BG52)</f>
        <v>9000000</v>
      </c>
      <c r="BH58" s="104">
        <f>BH52+BH53</f>
        <v>23803281.34</v>
      </c>
      <c r="BI58" s="140">
        <f>BI52+BI53</f>
        <v>2343889.3425000003</v>
      </c>
      <c r="BJ58" s="104">
        <f>BJ52+BJ53</f>
        <v>21459391.997499999</v>
      </c>
      <c r="BK58" s="140">
        <f>BK52+BK53</f>
        <v>3489715.80375</v>
      </c>
      <c r="BL58" s="104">
        <f t="shared" ref="BL58" si="2">BL53</f>
        <v>17969676.193750001</v>
      </c>
      <c r="BM58" s="140">
        <f>SUM(BM4:BM51)</f>
        <v>2644902.6324999998</v>
      </c>
      <c r="BN58" s="104">
        <f t="shared" ref="BN58" si="3">BN53</f>
        <v>15324773.561249999</v>
      </c>
      <c r="BO58" s="140">
        <f>SUM(BO4:BO51)</f>
        <v>2644902.6324999998</v>
      </c>
      <c r="BP58" s="104">
        <f t="shared" ref="BP58" si="4">BP53</f>
        <v>12679870.928750001</v>
      </c>
      <c r="BQ58" s="141">
        <f>SUM(BQ4:BQ51)</f>
        <v>2644902.6324999998</v>
      </c>
      <c r="BR58" s="104">
        <f t="shared" ref="BR58" si="5">BR53</f>
        <v>10034968.296250001</v>
      </c>
      <c r="BS58" s="140">
        <f>SUM(BS4:BS51)</f>
        <v>2644902.6324999998</v>
      </c>
      <c r="BT58" s="104">
        <f t="shared" ref="BT58:BV58" si="6">BT53</f>
        <v>7390065.6637500003</v>
      </c>
      <c r="BU58" s="140">
        <f>SUM(BU4:BU51)</f>
        <v>2644902.6324999998</v>
      </c>
      <c r="BV58" s="104">
        <f t="shared" si="6"/>
        <v>4745163.03125</v>
      </c>
      <c r="BW58" s="140">
        <f>SUM(BW4:BW51)</f>
        <v>2644902.6324999998</v>
      </c>
      <c r="BX58" s="104">
        <f t="shared" ref="BX58" si="7">BX53</f>
        <v>2100260.3987500002</v>
      </c>
      <c r="BY58" s="140">
        <f>SUM(BY4:BY51)</f>
        <v>2100260.3987500002</v>
      </c>
    </row>
    <row r="59" spans="1:1171" ht="13.5" customHeight="1" x14ac:dyDescent="0.15">
      <c r="A59" s="101"/>
      <c r="B59" s="266" t="s">
        <v>60</v>
      </c>
      <c r="C59" s="266"/>
      <c r="D59" s="266"/>
      <c r="E59" s="266"/>
      <c r="F59" s="108"/>
      <c r="G59" s="108"/>
      <c r="H59" s="108"/>
      <c r="I59" s="108"/>
      <c r="J59" s="108"/>
      <c r="K59" s="108"/>
      <c r="L59" s="109"/>
      <c r="M59" s="98"/>
      <c r="N59" s="109"/>
      <c r="O59" s="58"/>
      <c r="P59" s="58"/>
      <c r="Q59" s="52"/>
      <c r="R59" s="52"/>
      <c r="S59" s="52"/>
      <c r="T59" s="52"/>
      <c r="U59" s="52"/>
      <c r="V59" s="52"/>
      <c r="W59" s="100" t="s">
        <v>36</v>
      </c>
      <c r="X59" s="110" t="s">
        <v>61</v>
      </c>
      <c r="Y59" s="52"/>
      <c r="Z59" s="110" t="e">
        <f>+Z53-#REF!</f>
        <v>#REF!</v>
      </c>
      <c r="AA59" s="52"/>
      <c r="AB59" s="110">
        <f>+AB53-BZ48</f>
        <v>16328806.310000001</v>
      </c>
      <c r="AC59" s="52"/>
      <c r="AD59" s="110">
        <f>+AD53-CB48</f>
        <v>10882614.2575</v>
      </c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27"/>
      <c r="BR59" s="110"/>
      <c r="BS59" s="110"/>
      <c r="BT59" s="110"/>
      <c r="BU59" s="110"/>
      <c r="BV59" s="110"/>
      <c r="BW59" s="110"/>
      <c r="BX59" s="110"/>
      <c r="BY59" s="110"/>
    </row>
    <row r="60" spans="1:1171" ht="40.5" customHeight="1" x14ac:dyDescent="0.15">
      <c r="A60" s="95"/>
      <c r="B60" s="265" t="s">
        <v>61</v>
      </c>
      <c r="C60" s="265"/>
      <c r="D60" s="265"/>
      <c r="E60" s="265"/>
      <c r="F60" s="108"/>
      <c r="G60" s="108"/>
      <c r="H60" s="108"/>
      <c r="I60" s="108"/>
      <c r="J60" s="108"/>
      <c r="K60" s="108"/>
      <c r="L60" s="109"/>
      <c r="M60" s="98"/>
      <c r="N60" s="109"/>
      <c r="O60" s="58"/>
      <c r="P60" s="58"/>
      <c r="Q60" s="52"/>
      <c r="R60" s="52"/>
      <c r="S60" s="52"/>
      <c r="T60" s="52"/>
      <c r="U60" s="52"/>
      <c r="V60" s="52"/>
      <c r="W60" s="100"/>
      <c r="X60" s="110"/>
      <c r="Y60" s="93" t="s">
        <v>134</v>
      </c>
      <c r="Z60" s="52" t="s">
        <v>83</v>
      </c>
      <c r="AA60" s="93" t="s">
        <v>135</v>
      </c>
      <c r="AB60" s="52"/>
      <c r="AC60" s="93" t="s">
        <v>136</v>
      </c>
      <c r="AD60" s="142"/>
      <c r="AE60" s="110"/>
      <c r="AF60" s="93" t="s">
        <v>137</v>
      </c>
      <c r="AG60" s="110"/>
      <c r="AH60" s="110"/>
      <c r="AI60" s="93" t="s">
        <v>138</v>
      </c>
      <c r="AJ60" s="110"/>
      <c r="AK60" s="93" t="s">
        <v>139</v>
      </c>
      <c r="AL60" s="110"/>
      <c r="AM60" s="93" t="s">
        <v>138</v>
      </c>
      <c r="AN60" s="110"/>
      <c r="AO60" s="93" t="s">
        <v>138</v>
      </c>
      <c r="AP60" s="110"/>
      <c r="AQ60" s="93" t="s">
        <v>138</v>
      </c>
      <c r="AR60" s="110"/>
      <c r="AS60" s="93" t="s">
        <v>138</v>
      </c>
      <c r="AT60" s="110"/>
      <c r="AU60" s="93" t="s">
        <v>138</v>
      </c>
      <c r="AV60" s="110"/>
      <c r="AW60" s="93" t="s">
        <v>138</v>
      </c>
      <c r="AX60" s="110"/>
      <c r="AY60" s="93" t="s">
        <v>138</v>
      </c>
      <c r="AZ60" s="93"/>
      <c r="BA60" s="93" t="s">
        <v>99</v>
      </c>
      <c r="BB60" s="49"/>
      <c r="BC60" s="143" t="s">
        <v>139</v>
      </c>
      <c r="BD60" s="49"/>
      <c r="BE60" s="49"/>
      <c r="BF60" s="143" t="s">
        <v>140</v>
      </c>
      <c r="BG60" s="143"/>
      <c r="BH60" s="49"/>
      <c r="BI60" s="143" t="s">
        <v>141</v>
      </c>
      <c r="BJ60" s="49"/>
      <c r="BK60" s="93" t="s">
        <v>142</v>
      </c>
      <c r="BL60" s="49"/>
      <c r="BM60" s="143" t="s">
        <v>143</v>
      </c>
      <c r="BN60" s="49"/>
      <c r="BO60" s="143" t="s">
        <v>144</v>
      </c>
      <c r="BP60" s="49"/>
      <c r="BQ60" s="144" t="s">
        <v>145</v>
      </c>
      <c r="BR60" s="49"/>
      <c r="BS60" s="143" t="s">
        <v>146</v>
      </c>
      <c r="BT60" s="49"/>
      <c r="BU60" s="143" t="s">
        <v>147</v>
      </c>
      <c r="BV60" s="49"/>
      <c r="BW60" s="143" t="s">
        <v>148</v>
      </c>
      <c r="BX60" s="49"/>
      <c r="BY60" s="93" t="s">
        <v>149</v>
      </c>
      <c r="BZ60" s="13"/>
      <c r="CA60" s="14"/>
    </row>
    <row r="61" spans="1:1171" ht="36" x14ac:dyDescent="0.15">
      <c r="A61" s="95"/>
      <c r="B61" s="263" t="s">
        <v>125</v>
      </c>
      <c r="C61" s="263"/>
      <c r="D61" s="263"/>
      <c r="E61" s="263"/>
      <c r="F61" s="108"/>
      <c r="G61" s="108"/>
      <c r="H61" s="108"/>
      <c r="I61" s="108"/>
      <c r="J61" s="108"/>
      <c r="K61" s="108"/>
      <c r="L61" s="109"/>
      <c r="M61" s="98"/>
      <c r="N61" s="109"/>
      <c r="O61" s="58"/>
      <c r="P61" s="58"/>
      <c r="Q61" s="52"/>
      <c r="R61" s="52"/>
      <c r="S61" s="52"/>
      <c r="T61" s="52"/>
      <c r="U61" s="52"/>
      <c r="V61" s="52"/>
      <c r="W61" s="52"/>
      <c r="X61" s="52"/>
      <c r="Y61" s="145" t="e">
        <f>#REF!/#REF!</f>
        <v>#REF!</v>
      </c>
      <c r="Z61" s="146">
        <v>13927765.460000001</v>
      </c>
      <c r="AA61" s="145">
        <f>Z61/Z66</f>
        <v>7.4296997709651924E-2</v>
      </c>
      <c r="AB61" s="52"/>
      <c r="AC61" s="145">
        <f>AD58/Z66</f>
        <v>5.8052784481948255E-2</v>
      </c>
      <c r="AD61" s="111"/>
      <c r="AE61" s="111"/>
      <c r="AF61" s="145">
        <f>AG58/Z66</f>
        <v>3.6163454666630603E-2</v>
      </c>
      <c r="AG61" s="147"/>
      <c r="AH61" s="147"/>
      <c r="AI61" s="145" t="e">
        <f>AG58/#REF!</f>
        <v>#REF!</v>
      </c>
      <c r="AJ61" s="148"/>
      <c r="AK61" s="145">
        <f>AL58/Z66</f>
        <v>0</v>
      </c>
      <c r="AL61" s="52"/>
      <c r="AM61" s="145" t="e">
        <f>#REF!/AD66</f>
        <v>#REF!</v>
      </c>
      <c r="AN61" s="52"/>
      <c r="AO61" s="145" t="e">
        <f>BZ58/#REF!</f>
        <v>#REF!</v>
      </c>
      <c r="AP61" s="52"/>
      <c r="AQ61" s="145">
        <f>CB58/AI66</f>
        <v>0</v>
      </c>
      <c r="AR61" s="52"/>
      <c r="AS61" s="145" t="e">
        <f>CD58/AK66</f>
        <v>#DIV/0!</v>
      </c>
      <c r="AT61" s="52"/>
      <c r="AU61" s="145" t="e">
        <f>CF58/AM66</f>
        <v>#DIV/0!</v>
      </c>
      <c r="AV61" s="52"/>
      <c r="AW61" s="145" t="e">
        <f>CF58/AM66</f>
        <v>#DIV/0!</v>
      </c>
      <c r="AX61" s="52"/>
      <c r="AY61" s="145" t="e">
        <f>CH58/AO66</f>
        <v>#DIV/0!</v>
      </c>
      <c r="AZ61" s="145"/>
      <c r="BA61" s="145">
        <v>0</v>
      </c>
      <c r="BB61" s="148"/>
      <c r="BC61" s="145">
        <f>BB58/BE61</f>
        <v>2.8162719160455211E-2</v>
      </c>
      <c r="BD61" s="148" t="s">
        <v>124</v>
      </c>
      <c r="BE61" s="149">
        <v>158233078.44</v>
      </c>
      <c r="BF61" s="145">
        <f>BH53/BE61</f>
        <v>0.13281820487344617</v>
      </c>
      <c r="BG61" s="145"/>
      <c r="BH61" s="148"/>
      <c r="BI61" s="145">
        <f>BJ53/BE61</f>
        <v>0.13026905670242739</v>
      </c>
      <c r="BJ61" s="148"/>
      <c r="BK61" s="145">
        <f>BL58/BE61</f>
        <v>0.11356459958253215</v>
      </c>
      <c r="BL61" s="148"/>
      <c r="BM61" s="145">
        <f>BN58/BE61</f>
        <v>9.684936747951195E-2</v>
      </c>
      <c r="BN61" s="148"/>
      <c r="BO61" s="145">
        <f>BP58/BE61</f>
        <v>8.0134135376491764E-2</v>
      </c>
      <c r="BP61" s="148"/>
      <c r="BQ61" s="150">
        <f>BR58/BE61</f>
        <v>6.3418903273471577E-2</v>
      </c>
      <c r="BR61" s="148"/>
      <c r="BS61" s="145">
        <f>BT58/BE61</f>
        <v>4.6703671170451384E-2</v>
      </c>
      <c r="BT61" s="148"/>
      <c r="BU61" s="145">
        <f>BV58/BE61</f>
        <v>2.9988439067431191E-2</v>
      </c>
      <c r="BV61" s="148"/>
      <c r="BW61" s="145">
        <f>BX58/BE61</f>
        <v>1.3273206964411002E-2</v>
      </c>
      <c r="BX61" s="148"/>
      <c r="BY61" s="145" t="e">
        <f>#REF!/BE61</f>
        <v>#REF!</v>
      </c>
    </row>
    <row r="62" spans="1:1171" s="15" customFormat="1" ht="18" x14ac:dyDescent="0.2">
      <c r="A62" s="36"/>
      <c r="B62" s="128"/>
      <c r="C62" s="128"/>
      <c r="D62" s="128"/>
      <c r="E62" s="128"/>
      <c r="F62" s="129"/>
      <c r="G62" s="129"/>
      <c r="H62" s="129"/>
      <c r="I62" s="129"/>
      <c r="J62" s="129"/>
      <c r="K62" s="129"/>
      <c r="L62" s="130"/>
      <c r="M62" s="131"/>
      <c r="N62" s="130"/>
      <c r="O62" s="132"/>
      <c r="P62" s="132"/>
      <c r="Q62" s="133"/>
      <c r="R62" s="133"/>
      <c r="S62" s="133"/>
      <c r="T62" s="133"/>
      <c r="U62" s="133"/>
      <c r="V62" s="133"/>
      <c r="W62" s="133"/>
      <c r="X62" s="133"/>
      <c r="Y62" s="112"/>
      <c r="Z62" s="134"/>
      <c r="AA62" s="112"/>
      <c r="AB62" s="49"/>
      <c r="AC62" s="112"/>
      <c r="AD62" s="135"/>
      <c r="AE62" s="135"/>
      <c r="AF62" s="112"/>
      <c r="AG62" s="136"/>
      <c r="AH62" s="136"/>
      <c r="AI62" s="137"/>
      <c r="AJ62" s="112"/>
      <c r="AK62" s="112"/>
      <c r="AL62" s="133"/>
      <c r="AM62" s="112"/>
      <c r="AN62" s="133"/>
      <c r="AO62" s="112"/>
      <c r="AP62" s="133"/>
      <c r="AQ62" s="112"/>
      <c r="AR62" s="133"/>
      <c r="AS62" s="112"/>
      <c r="AT62" s="133"/>
      <c r="AU62" s="112"/>
      <c r="AV62" s="133"/>
      <c r="AW62" s="112"/>
      <c r="AX62" s="133"/>
      <c r="AY62" s="112"/>
      <c r="AZ62" s="112"/>
      <c r="BA62" s="112"/>
      <c r="BB62" s="112"/>
      <c r="BC62" s="137"/>
      <c r="BD62" s="112"/>
      <c r="BE62" s="149" t="s">
        <v>131</v>
      </c>
      <c r="BF62" s="137"/>
      <c r="BG62" s="137"/>
      <c r="BH62" s="112"/>
      <c r="BI62" s="137"/>
      <c r="BJ62" s="112"/>
      <c r="BK62" s="137"/>
      <c r="BL62" s="112"/>
      <c r="BM62" s="137"/>
      <c r="BN62" s="112"/>
      <c r="BO62" s="137"/>
      <c r="BP62" s="112"/>
      <c r="BQ62" s="137"/>
      <c r="BR62" s="112"/>
      <c r="BS62" s="137"/>
      <c r="BT62" s="112"/>
      <c r="BU62" s="137"/>
      <c r="BV62" s="112"/>
      <c r="BW62" s="137"/>
      <c r="BX62" s="112"/>
      <c r="BY62" s="137"/>
    </row>
    <row r="63" spans="1:1171" ht="9" customHeight="1" x14ac:dyDescent="0.15">
      <c r="A63" s="9"/>
      <c r="B63" s="7"/>
      <c r="C63" s="12"/>
      <c r="E63" s="8"/>
      <c r="F63" s="8"/>
      <c r="G63" s="8"/>
      <c r="H63" s="8"/>
      <c r="I63" s="8"/>
      <c r="J63" s="8"/>
      <c r="K63" s="8"/>
      <c r="L63" s="7"/>
      <c r="M63" s="6"/>
      <c r="N63" s="7"/>
      <c r="Y63" s="26"/>
      <c r="Z63" s="22"/>
      <c r="AC63" s="27"/>
      <c r="AD63" s="35"/>
      <c r="AE63" s="35"/>
      <c r="AF63" s="31"/>
      <c r="AG63" s="31"/>
      <c r="AH63" s="31"/>
      <c r="AJ63" s="18"/>
    </row>
    <row r="64" spans="1:1171" ht="9" customHeight="1" x14ac:dyDescent="0.15">
      <c r="A64" s="9"/>
      <c r="B64" s="7"/>
      <c r="C64" s="12"/>
      <c r="E64" s="8"/>
      <c r="F64" s="8"/>
      <c r="G64" s="8"/>
      <c r="H64" s="8"/>
      <c r="I64" s="8"/>
      <c r="J64" s="8"/>
      <c r="K64" s="8"/>
      <c r="L64" s="7"/>
      <c r="M64" s="6"/>
      <c r="N64" s="7"/>
      <c r="Y64" s="26"/>
      <c r="Z64" s="22"/>
      <c r="AC64" s="27"/>
      <c r="AD64" s="35"/>
      <c r="AE64" s="35"/>
      <c r="AF64" s="31"/>
      <c r="AG64" s="31"/>
      <c r="AH64" s="31"/>
      <c r="AJ64" s="18"/>
    </row>
    <row r="65" spans="1:77" ht="9" customHeight="1" x14ac:dyDescent="0.15">
      <c r="A65" s="9"/>
      <c r="B65" s="7"/>
      <c r="C65" s="12"/>
      <c r="E65" s="8"/>
      <c r="F65" s="8"/>
      <c r="G65" s="8"/>
      <c r="H65" s="8"/>
      <c r="I65" s="8"/>
      <c r="J65" s="8"/>
      <c r="K65" s="8"/>
      <c r="L65" s="7"/>
      <c r="M65" s="6"/>
      <c r="N65" s="7"/>
      <c r="Y65" s="26"/>
      <c r="Z65" s="22"/>
      <c r="AC65" s="27"/>
      <c r="AD65" s="35"/>
      <c r="AE65" s="35"/>
      <c r="AF65" s="31"/>
      <c r="AG65" s="31"/>
      <c r="AH65" s="31"/>
      <c r="AJ65" s="18"/>
    </row>
    <row r="66" spans="1:77" ht="9.6" customHeight="1" x14ac:dyDescent="0.15">
      <c r="A66" s="9"/>
      <c r="B66" s="7"/>
      <c r="C66" s="12"/>
      <c r="E66" s="8"/>
      <c r="F66" s="8"/>
      <c r="G66" s="8"/>
      <c r="H66" s="8"/>
      <c r="I66" s="8"/>
      <c r="J66" s="8"/>
      <c r="K66" s="8"/>
      <c r="L66" s="7"/>
      <c r="M66" s="6"/>
      <c r="N66" s="7"/>
      <c r="Y66" s="22" t="s">
        <v>82</v>
      </c>
      <c r="Z66" s="28">
        <v>187460676.59999999</v>
      </c>
      <c r="AC66" s="19">
        <f>Y54</f>
        <v>2805954.67</v>
      </c>
      <c r="AD66" s="19">
        <f>AA53</f>
        <v>7074683.3987982161</v>
      </c>
      <c r="AE66" s="19"/>
      <c r="AF66" s="269" t="s">
        <v>108</v>
      </c>
      <c r="AG66" s="269"/>
      <c r="AH66" s="34" t="s">
        <v>107</v>
      </c>
      <c r="AI66" s="33">
        <v>142045959.97999999</v>
      </c>
      <c r="AJ66" s="19">
        <f>AK53</f>
        <v>0</v>
      </c>
      <c r="AM66" s="19">
        <f>AM53</f>
        <v>0</v>
      </c>
      <c r="AO66" s="19">
        <f>AO53</f>
        <v>0</v>
      </c>
      <c r="AQ66" s="19">
        <f>AQ53</f>
        <v>0</v>
      </c>
      <c r="AS66" s="19">
        <f>AS53</f>
        <v>0</v>
      </c>
      <c r="AU66" s="19">
        <f>AU53</f>
        <v>0</v>
      </c>
      <c r="AW66" s="19">
        <f>AW53</f>
        <v>0</v>
      </c>
      <c r="AY66" s="19">
        <f>AY53</f>
        <v>0</v>
      </c>
      <c r="AZ66" s="19"/>
      <c r="BA66" s="19"/>
      <c r="BB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</row>
    <row r="123" spans="37:78" x14ac:dyDescent="0.15">
      <c r="BZ123" s="24"/>
    </row>
    <row r="127" spans="37:78" x14ac:dyDescent="0.15">
      <c r="AK127" s="24"/>
      <c r="AL127" s="24"/>
      <c r="AN127" s="24"/>
      <c r="AP127" s="24"/>
      <c r="AR127" s="24"/>
      <c r="AT127" s="24"/>
      <c r="AV127" s="24"/>
      <c r="AX127" s="24"/>
    </row>
    <row r="174" spans="24:77" x14ac:dyDescent="0.15">
      <c r="AC174" s="1">
        <v>2016</v>
      </c>
      <c r="AD174" s="1">
        <v>2017</v>
      </c>
      <c r="AF174" s="1">
        <v>2018</v>
      </c>
      <c r="AG174" s="1">
        <v>2019</v>
      </c>
      <c r="AI174" s="1">
        <v>2020</v>
      </c>
      <c r="AJ174" s="1">
        <v>2021</v>
      </c>
      <c r="AM174" s="1">
        <v>2020</v>
      </c>
      <c r="AO174" s="1">
        <v>2020</v>
      </c>
      <c r="AQ174" s="1">
        <v>2020</v>
      </c>
      <c r="AS174" s="1">
        <v>2020</v>
      </c>
      <c r="AU174" s="1">
        <v>2020</v>
      </c>
      <c r="AW174" s="1">
        <v>2020</v>
      </c>
      <c r="AY174" s="1">
        <v>2020</v>
      </c>
    </row>
    <row r="175" spans="24:77" ht="9.6" customHeight="1" x14ac:dyDescent="0.15">
      <c r="X175" s="262" t="s">
        <v>62</v>
      </c>
      <c r="Y175" s="262"/>
      <c r="Z175" s="262"/>
      <c r="AC175" s="2">
        <v>2805954.67</v>
      </c>
      <c r="AD175" s="17">
        <v>2177535.96</v>
      </c>
      <c r="AE175" s="17"/>
      <c r="AF175" s="17">
        <v>1797442.39</v>
      </c>
      <c r="AG175" s="17">
        <v>1854214.52</v>
      </c>
      <c r="AH175" s="17"/>
      <c r="AI175" s="17">
        <v>1914859.67</v>
      </c>
      <c r="AJ175" s="17">
        <v>1179212.8799999999</v>
      </c>
      <c r="AM175" s="17">
        <v>1914859.67</v>
      </c>
      <c r="AO175" s="17">
        <v>1914859.67</v>
      </c>
      <c r="AQ175" s="17">
        <v>1914859.67</v>
      </c>
      <c r="AS175" s="17">
        <v>1914859.67</v>
      </c>
      <c r="AU175" s="17">
        <v>1914859.67</v>
      </c>
      <c r="AW175" s="17">
        <v>1914859.67</v>
      </c>
      <c r="AY175" s="17">
        <v>1914859.67</v>
      </c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</row>
    <row r="176" spans="24:77" ht="9.6" customHeight="1" x14ac:dyDescent="0.15">
      <c r="X176" s="262" t="s">
        <v>63</v>
      </c>
      <c r="Y176" s="262"/>
      <c r="Z176" s="262"/>
      <c r="AA176" s="262"/>
      <c r="AB176" s="262"/>
      <c r="AC176" s="2">
        <v>8254490</v>
      </c>
      <c r="AD176" s="17"/>
      <c r="AE176" s="17"/>
      <c r="AF176" s="17"/>
      <c r="AG176" s="17"/>
      <c r="AH176" s="17"/>
      <c r="AI176" s="17"/>
      <c r="AJ176" s="17"/>
      <c r="AM176" s="17"/>
      <c r="AO176" s="17"/>
      <c r="AQ176" s="17"/>
      <c r="AS176" s="17"/>
      <c r="AU176" s="17"/>
      <c r="AW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</row>
  </sheetData>
  <mergeCells count="76">
    <mergeCell ref="D30:BD30"/>
    <mergeCell ref="E26:BG26"/>
    <mergeCell ref="B39:C39"/>
    <mergeCell ref="A43:B43"/>
    <mergeCell ref="X176:AB176"/>
    <mergeCell ref="X175:Z175"/>
    <mergeCell ref="AG17:BB17"/>
    <mergeCell ref="AB50:AE50"/>
    <mergeCell ref="B61:E61"/>
    <mergeCell ref="B33:C33"/>
    <mergeCell ref="B36:C36"/>
    <mergeCell ref="B60:E60"/>
    <mergeCell ref="B59:E59"/>
    <mergeCell ref="M53:O53"/>
    <mergeCell ref="AF66:AG66"/>
    <mergeCell ref="B41:C41"/>
    <mergeCell ref="B53:B56"/>
    <mergeCell ref="C20:BD20"/>
    <mergeCell ref="AZ2:BA2"/>
    <mergeCell ref="AR2:AS2"/>
    <mergeCell ref="AZ57:BA57"/>
    <mergeCell ref="AR57:AS57"/>
    <mergeCell ref="AT2:AU2"/>
    <mergeCell ref="AT57:AU57"/>
    <mergeCell ref="AX2:AY2"/>
    <mergeCell ref="AX57:AY57"/>
    <mergeCell ref="AV2:AW2"/>
    <mergeCell ref="AV57:AW57"/>
    <mergeCell ref="A8:B8"/>
    <mergeCell ref="A4:B4"/>
    <mergeCell ref="B16:C16"/>
    <mergeCell ref="A24:B24"/>
    <mergeCell ref="AB6:AE6"/>
    <mergeCell ref="BD2:BF2"/>
    <mergeCell ref="BP2:BQ2"/>
    <mergeCell ref="BR2:BS2"/>
    <mergeCell ref="BT2:BU2"/>
    <mergeCell ref="BJ2:BK2"/>
    <mergeCell ref="BL2:BM2"/>
    <mergeCell ref="BN2:BO2"/>
    <mergeCell ref="AN2:AO2"/>
    <mergeCell ref="BH2:BI2"/>
    <mergeCell ref="AJ2:AK2"/>
    <mergeCell ref="BB2:BC2"/>
    <mergeCell ref="AD57:AF57"/>
    <mergeCell ref="AG57:AI57"/>
    <mergeCell ref="AJ57:AK57"/>
    <mergeCell ref="AL57:AM57"/>
    <mergeCell ref="BD57:BF57"/>
    <mergeCell ref="BB57:BC57"/>
    <mergeCell ref="Z11:AL12"/>
    <mergeCell ref="AP2:AQ2"/>
    <mergeCell ref="AN57:AO57"/>
    <mergeCell ref="AP57:AQ57"/>
    <mergeCell ref="AD2:AF2"/>
    <mergeCell ref="AG2:AI2"/>
    <mergeCell ref="M2:N2"/>
    <mergeCell ref="O2:P2"/>
    <mergeCell ref="AL2:AM2"/>
    <mergeCell ref="M54:O54"/>
    <mergeCell ref="AB57:AC57"/>
    <mergeCell ref="AB31:AE31"/>
    <mergeCell ref="AB44:AE44"/>
    <mergeCell ref="AB46:AE46"/>
    <mergeCell ref="AB49:AE49"/>
    <mergeCell ref="BH57:BI57"/>
    <mergeCell ref="BJ57:BK57"/>
    <mergeCell ref="BL57:BM57"/>
    <mergeCell ref="BV57:BW57"/>
    <mergeCell ref="BX2:BY2"/>
    <mergeCell ref="BX57:BY57"/>
    <mergeCell ref="BP57:BQ57"/>
    <mergeCell ref="BR57:BS57"/>
    <mergeCell ref="BT57:BU57"/>
    <mergeCell ref="BN57:BO57"/>
    <mergeCell ref="BV2:BW2"/>
  </mergeCells>
  <phoneticPr fontId="0" type="noConversion"/>
  <printOptions horizontalCentered="1"/>
  <pageMargins left="0.7" right="0.7" top="0.75" bottom="0.75" header="0.3" footer="0.3"/>
  <pageSetup paperSize="8" scale="65" orientation="landscape" verticalDpi="300" copies="4" r:id="rId1"/>
  <headerFooter alignWithMargins="0"/>
  <rowBreaks count="1" manualBreakCount="1">
    <brk id="9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2022-2031</vt:lpstr>
      <vt:lpstr>Proyección K 2022-2031</vt:lpstr>
      <vt:lpstr>Proyección A 2022-2031</vt:lpstr>
      <vt:lpstr>'2022-2031'!Área_de_impresión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ISIDRO VALENZUELA VILLARRUBIA</cp:lastModifiedBy>
  <cp:lastPrinted>2023-03-28T07:58:06Z</cp:lastPrinted>
  <dcterms:created xsi:type="dcterms:W3CDTF">1996-11-27T10:00:04Z</dcterms:created>
  <dcterms:modified xsi:type="dcterms:W3CDTF">2023-03-28T10:04:59Z</dcterms:modified>
</cp:coreProperties>
</file>